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alista1conta\Desktop\ACTUALIZACIÓN DE FORMATOS PRESU\"/>
    </mc:Choice>
  </mc:AlternateContent>
  <xr:revisionPtr revIDLastSave="0" documentId="8_{A81994FC-8CC0-4D9D-A7FC-3CC2816D82FF}" xr6:coauthVersionLast="47" xr6:coauthVersionMax="47" xr10:uidLastSave="{00000000-0000-0000-0000-000000000000}"/>
  <bookViews>
    <workbookView xWindow="-120" yWindow="-120" windowWidth="21840" windowHeight="13020" tabRatio="874" xr2:uid="{00000000-000D-0000-FFFF-FFFF00000000}"/>
  </bookViews>
  <sheets>
    <sheet name="CONSOLIDADO" sheetId="1" r:id="rId1"/>
    <sheet name="INGRESOS" sheetId="2" r:id="rId2"/>
    <sheet name="COSTOS Y GASTOS" sheetId="7" r:id="rId3"/>
    <sheet name="ESTUDIANTES Y DOCENTES" sheetId="13" r:id="rId4"/>
    <sheet name="Malla" sheetId="14" r:id="rId5"/>
    <sheet name="DOCENTE CONTRATO ESPECIAL" sheetId="9" r:id="rId6"/>
    <sheet name="Adquisición Infraestructura" sheetId="15" r:id="rId7"/>
    <sheet name="Adquisición Medios" sheetId="16" r:id="rId8"/>
    <sheet name="TARIFAS" sheetId="12" r:id="rId9"/>
  </sheets>
  <definedNames>
    <definedName name="_xlnm.Print_Area" localSheetId="0">CONSOLIDADO!$A$1:$I$194</definedName>
    <definedName name="_xlnm.Print_Area" localSheetId="2">'COSTOS Y GASTOS'!$A$1:$H$225</definedName>
    <definedName name="_xlnm.Print_Area" localSheetId="5">'DOCENTE CONTRATO ESPECIAL'!$A$1:$F$40</definedName>
    <definedName name="_xlnm.Print_Area" localSheetId="3">'ESTUDIANTES Y DOCENTES'!$A$1:$AL$53</definedName>
    <definedName name="_xlnm.Print_Area" localSheetId="1">INGRESOS!$A$1:$J$91</definedName>
    <definedName name="DOCENTE">'DOCENTE CONTRATO ESPECIAL'!$A$19:$A$21</definedName>
    <definedName name="FORMACION">INGRESOS!$A$99:$A$105</definedName>
    <definedName name="FORMAL_Y_NO_FORMAL">INGRESOS!$C$99:$C$106</definedName>
    <definedName name="_xlnm.Print_Titles" localSheetId="0">CONSOLIDADO!$1:$15</definedName>
    <definedName name="_xlnm.Print_Titles" localSheetId="2">'COSTOS Y GASTOS'!$1:$2</definedName>
    <definedName name="_xlnm.Print_Titles" localSheetId="1">INGRESOS!$1:$4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8" i="7" l="1"/>
  <c r="D29" i="7" l="1"/>
  <c r="E7" i="16"/>
  <c r="K37" i="1" l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B30" i="2" l="1"/>
  <c r="K32" i="1" l="1"/>
  <c r="J32" i="1"/>
  <c r="I32" i="1"/>
  <c r="H32" i="1"/>
  <c r="G32" i="1"/>
  <c r="F32" i="1"/>
  <c r="E32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77" i="1"/>
  <c r="J77" i="1"/>
  <c r="I77" i="1"/>
  <c r="H77" i="1"/>
  <c r="F77" i="1"/>
  <c r="G77" i="1"/>
  <c r="B4" i="16" l="1"/>
  <c r="D9" i="2"/>
  <c r="C9" i="2"/>
  <c r="E7" i="15" l="1"/>
  <c r="B2" i="16"/>
  <c r="B2" i="15"/>
  <c r="F17" i="16" l="1"/>
  <c r="F193" i="1" s="1"/>
  <c r="G17" i="16"/>
  <c r="G193" i="1" s="1"/>
  <c r="H17" i="16"/>
  <c r="H193" i="1" s="1"/>
  <c r="I17" i="16"/>
  <c r="I193" i="1" s="1"/>
  <c r="J17" i="16"/>
  <c r="J193" i="1" s="1"/>
  <c r="K17" i="16"/>
  <c r="K193" i="1" s="1"/>
  <c r="E17" i="16"/>
  <c r="E193" i="1" s="1"/>
  <c r="F23" i="15"/>
  <c r="F192" i="1" s="1"/>
  <c r="G23" i="15"/>
  <c r="G192" i="1" s="1"/>
  <c r="H23" i="15"/>
  <c r="H192" i="1" s="1"/>
  <c r="I23" i="15"/>
  <c r="I192" i="1" s="1"/>
  <c r="J23" i="15"/>
  <c r="J192" i="1" s="1"/>
  <c r="K23" i="15"/>
  <c r="K192" i="1" s="1"/>
  <c r="E23" i="15"/>
  <c r="E192" i="1" s="1"/>
  <c r="H194" i="1" l="1"/>
  <c r="K194" i="1"/>
  <c r="I194" i="1"/>
  <c r="E194" i="1"/>
  <c r="G194" i="1"/>
  <c r="J194" i="1"/>
  <c r="F194" i="1"/>
  <c r="D185" i="1"/>
  <c r="F9" i="2"/>
  <c r="H9" i="2" s="1"/>
  <c r="J9" i="2" s="1"/>
  <c r="L9" i="2" s="1"/>
  <c r="N9" i="2" s="1"/>
  <c r="N30" i="2" s="1"/>
  <c r="E9" i="2"/>
  <c r="G9" i="2" s="1"/>
  <c r="I9" i="2" s="1"/>
  <c r="K9" i="2" s="1"/>
  <c r="M9" i="2" s="1"/>
  <c r="O9" i="2" s="1"/>
  <c r="O30" i="2" s="1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B61" i="2"/>
  <c r="B62" i="2"/>
  <c r="R101" i="14"/>
  <c r="F101" i="14"/>
  <c r="X93" i="14"/>
  <c r="W93" i="14"/>
  <c r="V93" i="14"/>
  <c r="U93" i="14"/>
  <c r="X85" i="14"/>
  <c r="W85" i="14"/>
  <c r="V85" i="14"/>
  <c r="U85" i="14"/>
  <c r="X77" i="14"/>
  <c r="W77" i="14"/>
  <c r="V77" i="14"/>
  <c r="U77" i="14"/>
  <c r="X69" i="14"/>
  <c r="W69" i="14"/>
  <c r="V69" i="14"/>
  <c r="U69" i="14"/>
  <c r="X61" i="14"/>
  <c r="W61" i="14"/>
  <c r="V61" i="14"/>
  <c r="U61" i="14"/>
  <c r="X53" i="14"/>
  <c r="W53" i="14"/>
  <c r="V53" i="14"/>
  <c r="U53" i="14"/>
  <c r="X45" i="14"/>
  <c r="W45" i="14"/>
  <c r="V45" i="14"/>
  <c r="U45" i="14"/>
  <c r="X37" i="14"/>
  <c r="W37" i="14"/>
  <c r="V37" i="14"/>
  <c r="U37" i="14"/>
  <c r="X29" i="14"/>
  <c r="W29" i="14"/>
  <c r="V29" i="14"/>
  <c r="U29" i="14"/>
  <c r="X21" i="14"/>
  <c r="W21" i="14"/>
  <c r="V21" i="14"/>
  <c r="U21" i="14"/>
  <c r="X13" i="14"/>
  <c r="W13" i="14"/>
  <c r="V13" i="14"/>
  <c r="U13" i="14"/>
  <c r="V5" i="14"/>
  <c r="W5" i="14"/>
  <c r="X5" i="14"/>
  <c r="U5" i="14"/>
  <c r="L93" i="14"/>
  <c r="K93" i="14"/>
  <c r="J93" i="14"/>
  <c r="I93" i="14"/>
  <c r="L85" i="14"/>
  <c r="K85" i="14"/>
  <c r="J85" i="14"/>
  <c r="I85" i="14"/>
  <c r="L77" i="14"/>
  <c r="K77" i="14"/>
  <c r="J77" i="14"/>
  <c r="I77" i="14"/>
  <c r="L69" i="14"/>
  <c r="K69" i="14"/>
  <c r="J69" i="14"/>
  <c r="I69" i="14"/>
  <c r="L61" i="14"/>
  <c r="K61" i="14"/>
  <c r="J61" i="14"/>
  <c r="I61" i="14"/>
  <c r="L53" i="14"/>
  <c r="K53" i="14"/>
  <c r="J53" i="14"/>
  <c r="I53" i="14"/>
  <c r="L45" i="14"/>
  <c r="K45" i="14"/>
  <c r="J45" i="14"/>
  <c r="I45" i="14"/>
  <c r="L37" i="14"/>
  <c r="K37" i="14"/>
  <c r="J37" i="14"/>
  <c r="I37" i="14"/>
  <c r="L29" i="14"/>
  <c r="K29" i="14"/>
  <c r="J29" i="14"/>
  <c r="I29" i="14"/>
  <c r="L21" i="14"/>
  <c r="K21" i="14"/>
  <c r="J21" i="14"/>
  <c r="I21" i="14"/>
  <c r="L13" i="14"/>
  <c r="K13" i="14"/>
  <c r="J13" i="14"/>
  <c r="I13" i="14"/>
  <c r="J5" i="14"/>
  <c r="K5" i="14"/>
  <c r="L5" i="14"/>
  <c r="I5" i="14"/>
  <c r="B21" i="13"/>
  <c r="AP37" i="13"/>
  <c r="AP36" i="13"/>
  <c r="AP35" i="13"/>
  <c r="AP34" i="13"/>
  <c r="AP33" i="13"/>
  <c r="AP32" i="13"/>
  <c r="AP31" i="13"/>
  <c r="AP30" i="13"/>
  <c r="AP29" i="13"/>
  <c r="AP28" i="13"/>
  <c r="AP27" i="13"/>
  <c r="AP26" i="13"/>
  <c r="AO37" i="13"/>
  <c r="AO36" i="13"/>
  <c r="AO35" i="13"/>
  <c r="AO34" i="13"/>
  <c r="AO33" i="13"/>
  <c r="AO32" i="13"/>
  <c r="AO31" i="13"/>
  <c r="AO30" i="13"/>
  <c r="AO29" i="13"/>
  <c r="AO28" i="13"/>
  <c r="AO27" i="13"/>
  <c r="AO26" i="13"/>
  <c r="AH37" i="13"/>
  <c r="AH36" i="13"/>
  <c r="AH35" i="13"/>
  <c r="AH34" i="13"/>
  <c r="AH33" i="13"/>
  <c r="AH32" i="13"/>
  <c r="AH31" i="13"/>
  <c r="AH30" i="13"/>
  <c r="AH29" i="13"/>
  <c r="AH28" i="13"/>
  <c r="AH27" i="13"/>
  <c r="AH26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B16" i="13"/>
  <c r="B37" i="13" s="1"/>
  <c r="B15" i="13"/>
  <c r="B36" i="13" s="1"/>
  <c r="M17" i="13"/>
  <c r="M19" i="13" s="1"/>
  <c r="N4" i="13"/>
  <c r="M4" i="13"/>
  <c r="B49" i="2"/>
  <c r="B41" i="2"/>
  <c r="B40" i="2"/>
  <c r="C41" i="2" s="1"/>
  <c r="J30" i="2" l="1"/>
  <c r="F30" i="2"/>
  <c r="G30" i="2"/>
  <c r="K30" i="2"/>
  <c r="M30" i="2"/>
  <c r="I30" i="2"/>
  <c r="E30" i="2"/>
  <c r="C30" i="2"/>
  <c r="D31" i="2" s="1"/>
  <c r="L30" i="2"/>
  <c r="H30" i="2"/>
  <c r="D30" i="2"/>
  <c r="AN34" i="13"/>
  <c r="AN30" i="13"/>
  <c r="AN29" i="13"/>
  <c r="AN33" i="13"/>
  <c r="AN37" i="13"/>
  <c r="AN31" i="13"/>
  <c r="AN35" i="13"/>
  <c r="AF29" i="13"/>
  <c r="AN32" i="13"/>
  <c r="AN36" i="13"/>
  <c r="AF33" i="13"/>
  <c r="AF31" i="13"/>
  <c r="AF35" i="13"/>
  <c r="AN28" i="13"/>
  <c r="AN26" i="13"/>
  <c r="AN27" i="13"/>
  <c r="AF37" i="13"/>
  <c r="AF30" i="13"/>
  <c r="AF34" i="13"/>
  <c r="AF28" i="13"/>
  <c r="AF32" i="13"/>
  <c r="AF36" i="13"/>
  <c r="AF27" i="13"/>
  <c r="AH38" i="13"/>
  <c r="AF26" i="13"/>
  <c r="AG38" i="13"/>
  <c r="D30" i="7"/>
  <c r="D31" i="7" s="1"/>
  <c r="D32" i="7" s="1"/>
  <c r="D33" i="7" s="1"/>
  <c r="D34" i="7" s="1"/>
  <c r="D35" i="7" s="1"/>
  <c r="H17" i="13"/>
  <c r="H19" i="13" s="1"/>
  <c r="C17" i="13"/>
  <c r="L4" i="13"/>
  <c r="D4" i="13"/>
  <c r="E4" i="13"/>
  <c r="F4" i="13"/>
  <c r="G4" i="13"/>
  <c r="H4" i="13"/>
  <c r="I4" i="13"/>
  <c r="J4" i="13"/>
  <c r="K4" i="13"/>
  <c r="C4" i="13"/>
  <c r="AQ27" i="13"/>
  <c r="AQ26" i="13"/>
  <c r="W78" i="2"/>
  <c r="V78" i="2"/>
  <c r="J67" i="1" s="1"/>
  <c r="U78" i="2"/>
  <c r="I67" i="1" s="1"/>
  <c r="T78" i="2"/>
  <c r="H67" i="1" s="1"/>
  <c r="S78" i="2"/>
  <c r="G67" i="1" s="1"/>
  <c r="R78" i="2"/>
  <c r="F67" i="1" s="1"/>
  <c r="Q78" i="2"/>
  <c r="E67" i="1" s="1"/>
  <c r="W77" i="2"/>
  <c r="K66" i="1" s="1"/>
  <c r="V77" i="2"/>
  <c r="J66" i="1" s="1"/>
  <c r="U77" i="2"/>
  <c r="I66" i="1" s="1"/>
  <c r="T77" i="2"/>
  <c r="H66" i="1" s="1"/>
  <c r="S77" i="2"/>
  <c r="G66" i="1" s="1"/>
  <c r="R77" i="2"/>
  <c r="Q77" i="2"/>
  <c r="E66" i="1" s="1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W88" i="2"/>
  <c r="K72" i="1" s="1"/>
  <c r="V88" i="2"/>
  <c r="J72" i="1" s="1"/>
  <c r="U88" i="2"/>
  <c r="I72" i="1" s="1"/>
  <c r="T88" i="2"/>
  <c r="H72" i="1" s="1"/>
  <c r="S88" i="2"/>
  <c r="G72" i="1" s="1"/>
  <c r="R88" i="2"/>
  <c r="F72" i="1" s="1"/>
  <c r="Q88" i="2"/>
  <c r="E72" i="1" s="1"/>
  <c r="W87" i="2"/>
  <c r="V87" i="2"/>
  <c r="U87" i="2"/>
  <c r="I71" i="1" s="1"/>
  <c r="T87" i="2"/>
  <c r="H71" i="1" s="1"/>
  <c r="S87" i="2"/>
  <c r="G71" i="1" s="1"/>
  <c r="R87" i="2"/>
  <c r="F71" i="1" s="1"/>
  <c r="Q87" i="2"/>
  <c r="E71" i="1" s="1"/>
  <c r="W86" i="2"/>
  <c r="K70" i="1" s="1"/>
  <c r="V86" i="2"/>
  <c r="J70" i="1" s="1"/>
  <c r="U86" i="2"/>
  <c r="I70" i="1" s="1"/>
  <c r="T86" i="2"/>
  <c r="H70" i="1" s="1"/>
  <c r="S86" i="2"/>
  <c r="G70" i="1" s="1"/>
  <c r="R86" i="2"/>
  <c r="Q86" i="2"/>
  <c r="E70" i="1" s="1"/>
  <c r="W85" i="2"/>
  <c r="K69" i="1" s="1"/>
  <c r="V85" i="2"/>
  <c r="J69" i="1" s="1"/>
  <c r="U85" i="2"/>
  <c r="I69" i="1" s="1"/>
  <c r="T85" i="2"/>
  <c r="H69" i="1" s="1"/>
  <c r="S85" i="2"/>
  <c r="G69" i="1" s="1"/>
  <c r="R85" i="2"/>
  <c r="F69" i="1" s="1"/>
  <c r="Q85" i="2"/>
  <c r="E69" i="1" s="1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B32" i="2"/>
  <c r="C33" i="2" s="1"/>
  <c r="D34" i="2" s="1"/>
  <c r="E35" i="2" s="1"/>
  <c r="F36" i="2" s="1"/>
  <c r="G37" i="2" s="1"/>
  <c r="B33" i="2"/>
  <c r="C34" i="2" s="1"/>
  <c r="D35" i="2" s="1"/>
  <c r="E36" i="2" s="1"/>
  <c r="F37" i="2" s="1"/>
  <c r="G38" i="2" s="1"/>
  <c r="B34" i="2"/>
  <c r="C35" i="2" s="1"/>
  <c r="D36" i="2" s="1"/>
  <c r="E37" i="2" s="1"/>
  <c r="F38" i="2" s="1"/>
  <c r="G39" i="2" s="1"/>
  <c r="B35" i="2"/>
  <c r="C36" i="2" s="1"/>
  <c r="D37" i="2" s="1"/>
  <c r="E38" i="2" s="1"/>
  <c r="F39" i="2" s="1"/>
  <c r="G40" i="2" s="1"/>
  <c r="B36" i="2"/>
  <c r="B37" i="2"/>
  <c r="C38" i="2" s="1"/>
  <c r="D39" i="2" s="1"/>
  <c r="E40" i="2" s="1"/>
  <c r="B38" i="2"/>
  <c r="C39" i="2" s="1"/>
  <c r="B39" i="2"/>
  <c r="C40" i="2" s="1"/>
  <c r="B31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F58" i="1"/>
  <c r="G58" i="1"/>
  <c r="H58" i="1"/>
  <c r="I58" i="1"/>
  <c r="J58" i="1"/>
  <c r="K58" i="1"/>
  <c r="F59" i="1"/>
  <c r="G59" i="1"/>
  <c r="H59" i="1"/>
  <c r="I59" i="1"/>
  <c r="J59" i="1"/>
  <c r="K59" i="1"/>
  <c r="F60" i="1"/>
  <c r="G60" i="1"/>
  <c r="H60" i="1"/>
  <c r="I60" i="1"/>
  <c r="J60" i="1"/>
  <c r="K60" i="1"/>
  <c r="F61" i="1"/>
  <c r="G61" i="1"/>
  <c r="H61" i="1"/>
  <c r="I61" i="1"/>
  <c r="J61" i="1"/>
  <c r="K61" i="1"/>
  <c r="E59" i="1"/>
  <c r="E60" i="1"/>
  <c r="E61" i="1"/>
  <c r="E58" i="1"/>
  <c r="F50" i="1"/>
  <c r="G50" i="1"/>
  <c r="H50" i="1"/>
  <c r="I50" i="1"/>
  <c r="J50" i="1"/>
  <c r="K50" i="1"/>
  <c r="F51" i="1"/>
  <c r="G51" i="1"/>
  <c r="H51" i="1"/>
  <c r="I51" i="1"/>
  <c r="J51" i="1"/>
  <c r="K51" i="1"/>
  <c r="F52" i="1"/>
  <c r="G52" i="1"/>
  <c r="H52" i="1"/>
  <c r="I52" i="1"/>
  <c r="J52" i="1"/>
  <c r="K52" i="1"/>
  <c r="E51" i="1"/>
  <c r="E52" i="1"/>
  <c r="E50" i="1"/>
  <c r="W22" i="2"/>
  <c r="V22" i="2"/>
  <c r="U22" i="2"/>
  <c r="T22" i="2"/>
  <c r="S22" i="2"/>
  <c r="R22" i="2"/>
  <c r="Q22" i="2"/>
  <c r="W21" i="2"/>
  <c r="V21" i="2"/>
  <c r="U21" i="2"/>
  <c r="T21" i="2"/>
  <c r="S21" i="2"/>
  <c r="R21" i="2"/>
  <c r="Q21" i="2"/>
  <c r="W20" i="2"/>
  <c r="V20" i="2"/>
  <c r="U20" i="2"/>
  <c r="T20" i="2"/>
  <c r="S20" i="2"/>
  <c r="R20" i="2"/>
  <c r="Q20" i="2"/>
  <c r="W19" i="2"/>
  <c r="V19" i="2"/>
  <c r="U19" i="2"/>
  <c r="T19" i="2"/>
  <c r="S19" i="2"/>
  <c r="R19" i="2"/>
  <c r="Q19" i="2"/>
  <c r="W18" i="2"/>
  <c r="V18" i="2"/>
  <c r="U18" i="2"/>
  <c r="T18" i="2"/>
  <c r="S18" i="2"/>
  <c r="R18" i="2"/>
  <c r="Q18" i="2"/>
  <c r="W17" i="2"/>
  <c r="V17" i="2"/>
  <c r="U17" i="2"/>
  <c r="T17" i="2"/>
  <c r="S17" i="2"/>
  <c r="R17" i="2"/>
  <c r="Q17" i="2"/>
  <c r="W16" i="2"/>
  <c r="V16" i="2"/>
  <c r="U16" i="2"/>
  <c r="T16" i="2"/>
  <c r="S16" i="2"/>
  <c r="R16" i="2"/>
  <c r="Q16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7" i="2"/>
  <c r="B54" i="2" s="1"/>
  <c r="F15" i="1"/>
  <c r="F7" i="16" s="1"/>
  <c r="D41" i="9"/>
  <c r="E41" i="9" s="1"/>
  <c r="F110" i="7"/>
  <c r="F102" i="7"/>
  <c r="F94" i="7"/>
  <c r="F86" i="7"/>
  <c r="F78" i="7"/>
  <c r="F68" i="7"/>
  <c r="F69" i="7"/>
  <c r="F70" i="7"/>
  <c r="F60" i="7"/>
  <c r="K64" i="1"/>
  <c r="J64" i="1"/>
  <c r="K53" i="1"/>
  <c r="J53" i="1"/>
  <c r="K45" i="1"/>
  <c r="J45" i="1"/>
  <c r="K44" i="1"/>
  <c r="J44" i="1"/>
  <c r="K43" i="1"/>
  <c r="K47" i="1" s="1"/>
  <c r="J43" i="1"/>
  <c r="J47" i="1" s="1"/>
  <c r="K42" i="1"/>
  <c r="J42" i="1"/>
  <c r="K31" i="1"/>
  <c r="J31" i="1"/>
  <c r="K21" i="1"/>
  <c r="J21" i="1"/>
  <c r="K20" i="1"/>
  <c r="J20" i="1"/>
  <c r="K19" i="1"/>
  <c r="K23" i="1" s="1"/>
  <c r="J19" i="1"/>
  <c r="J23" i="1" s="1"/>
  <c r="K18" i="1"/>
  <c r="J18" i="1"/>
  <c r="F178" i="7"/>
  <c r="E141" i="1" s="1"/>
  <c r="D101" i="7"/>
  <c r="F101" i="7" s="1"/>
  <c r="D93" i="7"/>
  <c r="F93" i="7" s="1"/>
  <c r="AP38" i="13"/>
  <c r="AO38" i="13"/>
  <c r="Q46" i="2"/>
  <c r="Q6" i="2"/>
  <c r="R6" i="2" s="1"/>
  <c r="S6" i="2" s="1"/>
  <c r="Q27" i="2"/>
  <c r="R27" i="2" s="1"/>
  <c r="S27" i="2" s="1"/>
  <c r="T27" i="2" s="1"/>
  <c r="U27" i="2" s="1"/>
  <c r="V27" i="2" s="1"/>
  <c r="W27" i="2" s="1"/>
  <c r="C158" i="7"/>
  <c r="D158" i="7" s="1"/>
  <c r="E136" i="1" s="1"/>
  <c r="F136" i="1" s="1"/>
  <c r="G136" i="1" s="1"/>
  <c r="H136" i="1" s="1"/>
  <c r="I136" i="1" s="1"/>
  <c r="J136" i="1" s="1"/>
  <c r="K136" i="1" s="1"/>
  <c r="L15" i="12"/>
  <c r="D15" i="12" s="1"/>
  <c r="K15" i="12"/>
  <c r="J15" i="12"/>
  <c r="L14" i="12"/>
  <c r="D14" i="12" s="1"/>
  <c r="B25" i="9" s="1"/>
  <c r="B26" i="9" s="1"/>
  <c r="B27" i="9" s="1"/>
  <c r="B28" i="9" s="1"/>
  <c r="B29" i="9" s="1"/>
  <c r="B30" i="9" s="1"/>
  <c r="B31" i="9" s="1"/>
  <c r="K14" i="12"/>
  <c r="J14" i="12"/>
  <c r="L13" i="12"/>
  <c r="D13" i="12" s="1"/>
  <c r="B5" i="9" s="1"/>
  <c r="B6" i="9" s="1"/>
  <c r="B7" i="9" s="1"/>
  <c r="B8" i="9" s="1"/>
  <c r="B9" i="9" s="1"/>
  <c r="B10" i="9" s="1"/>
  <c r="B11" i="9" s="1"/>
  <c r="K13" i="12"/>
  <c r="J13" i="12"/>
  <c r="L12" i="12"/>
  <c r="D12" i="12" s="1"/>
  <c r="B15" i="9" s="1"/>
  <c r="B16" i="9" s="1"/>
  <c r="B17" i="9" s="1"/>
  <c r="B18" i="9" s="1"/>
  <c r="B19" i="9" s="1"/>
  <c r="B20" i="9" s="1"/>
  <c r="B21" i="9" s="1"/>
  <c r="K12" i="12"/>
  <c r="J12" i="12"/>
  <c r="D7" i="12"/>
  <c r="D6" i="12"/>
  <c r="D5" i="12"/>
  <c r="D4" i="12"/>
  <c r="E188" i="7"/>
  <c r="E148" i="1" s="1"/>
  <c r="F148" i="1" s="1"/>
  <c r="G148" i="1" s="1"/>
  <c r="H148" i="1" s="1"/>
  <c r="I148" i="1" s="1"/>
  <c r="J148" i="1" s="1"/>
  <c r="K148" i="1" s="1"/>
  <c r="E50" i="7"/>
  <c r="E169" i="7"/>
  <c r="E170" i="7"/>
  <c r="E51" i="7"/>
  <c r="E52" i="7"/>
  <c r="E53" i="7"/>
  <c r="I64" i="1"/>
  <c r="I53" i="1"/>
  <c r="I45" i="1"/>
  <c r="I44" i="1"/>
  <c r="I43" i="1"/>
  <c r="I46" i="1" s="1"/>
  <c r="I42" i="1"/>
  <c r="I31" i="1"/>
  <c r="I21" i="1"/>
  <c r="I20" i="1"/>
  <c r="I19" i="1"/>
  <c r="I23" i="1" s="1"/>
  <c r="I18" i="1"/>
  <c r="F22" i="13"/>
  <c r="B6" i="13"/>
  <c r="B27" i="13" s="1"/>
  <c r="B7" i="13"/>
  <c r="B28" i="13" s="1"/>
  <c r="B8" i="13"/>
  <c r="B29" i="13" s="1"/>
  <c r="B9" i="13"/>
  <c r="B30" i="13" s="1"/>
  <c r="B10" i="13"/>
  <c r="B31" i="13" s="1"/>
  <c r="B11" i="13"/>
  <c r="B32" i="13" s="1"/>
  <c r="B12" i="13"/>
  <c r="B33" i="13" s="1"/>
  <c r="B13" i="13"/>
  <c r="B34" i="13" s="1"/>
  <c r="B14" i="13"/>
  <c r="B35" i="13" s="1"/>
  <c r="B5" i="13"/>
  <c r="B26" i="13" s="1"/>
  <c r="F141" i="1"/>
  <c r="G141" i="1" s="1"/>
  <c r="H141" i="1" s="1"/>
  <c r="I141" i="1" s="1"/>
  <c r="J141" i="1" s="1"/>
  <c r="K141" i="1" s="1"/>
  <c r="F64" i="1"/>
  <c r="G64" i="1"/>
  <c r="H64" i="1"/>
  <c r="E64" i="1"/>
  <c r="F53" i="1"/>
  <c r="G53" i="1"/>
  <c r="H53" i="1"/>
  <c r="E53" i="1"/>
  <c r="F42" i="1"/>
  <c r="G42" i="1"/>
  <c r="H42" i="1"/>
  <c r="F43" i="1"/>
  <c r="F47" i="1" s="1"/>
  <c r="G43" i="1"/>
  <c r="G47" i="1" s="1"/>
  <c r="H43" i="1"/>
  <c r="H46" i="1" s="1"/>
  <c r="F44" i="1"/>
  <c r="G44" i="1"/>
  <c r="H44" i="1"/>
  <c r="F45" i="1"/>
  <c r="G45" i="1"/>
  <c r="H45" i="1"/>
  <c r="E45" i="1"/>
  <c r="E44" i="1"/>
  <c r="E43" i="1"/>
  <c r="E47" i="1" s="1"/>
  <c r="E42" i="1"/>
  <c r="F18" i="1"/>
  <c r="G18" i="1"/>
  <c r="H18" i="1"/>
  <c r="F19" i="1"/>
  <c r="F22" i="1" s="1"/>
  <c r="G19" i="1"/>
  <c r="G22" i="1" s="1"/>
  <c r="H19" i="1"/>
  <c r="H23" i="1" s="1"/>
  <c r="F20" i="1"/>
  <c r="G20" i="1"/>
  <c r="H20" i="1"/>
  <c r="F21" i="1"/>
  <c r="G21" i="1"/>
  <c r="H21" i="1"/>
  <c r="E21" i="1"/>
  <c r="E20" i="1"/>
  <c r="E19" i="1"/>
  <c r="E23" i="1" s="1"/>
  <c r="G30" i="1"/>
  <c r="H31" i="1"/>
  <c r="E31" i="1"/>
  <c r="E18" i="1"/>
  <c r="E221" i="7"/>
  <c r="E175" i="1" s="1"/>
  <c r="F175" i="1" s="1"/>
  <c r="G175" i="1" s="1"/>
  <c r="H175" i="1" s="1"/>
  <c r="I175" i="1" s="1"/>
  <c r="J175" i="1" s="1"/>
  <c r="K175" i="1" s="1"/>
  <c r="E190" i="7"/>
  <c r="E150" i="1" s="1"/>
  <c r="F150" i="1" s="1"/>
  <c r="G150" i="1" s="1"/>
  <c r="H150" i="1" s="1"/>
  <c r="I150" i="1" s="1"/>
  <c r="J150" i="1" s="1"/>
  <c r="K150" i="1" s="1"/>
  <c r="F124" i="7"/>
  <c r="E110" i="1" s="1"/>
  <c r="F110" i="1" s="1"/>
  <c r="E41" i="7"/>
  <c r="D40" i="9"/>
  <c r="E40" i="9" s="1"/>
  <c r="F40" i="9" s="1"/>
  <c r="D39" i="9"/>
  <c r="K88" i="1" s="1"/>
  <c r="D38" i="9"/>
  <c r="H88" i="1" s="1"/>
  <c r="D37" i="9"/>
  <c r="E37" i="9" s="1"/>
  <c r="F37" i="9" s="1"/>
  <c r="D36" i="9"/>
  <c r="F88" i="1" s="1"/>
  <c r="D35" i="9"/>
  <c r="E35" i="9" s="1"/>
  <c r="E222" i="7"/>
  <c r="E176" i="1" s="1"/>
  <c r="F176" i="1" s="1"/>
  <c r="G176" i="1" s="1"/>
  <c r="H176" i="1" s="1"/>
  <c r="I176" i="1" s="1"/>
  <c r="J176" i="1" s="1"/>
  <c r="K176" i="1" s="1"/>
  <c r="E223" i="7"/>
  <c r="E177" i="1" s="1"/>
  <c r="F177" i="1" s="1"/>
  <c r="G177" i="1" s="1"/>
  <c r="H177" i="1" s="1"/>
  <c r="I177" i="1" s="1"/>
  <c r="J177" i="1" s="1"/>
  <c r="K177" i="1" s="1"/>
  <c r="F131" i="7"/>
  <c r="E114" i="1" s="1"/>
  <c r="F114" i="1" s="1"/>
  <c r="G114" i="1" s="1"/>
  <c r="H114" i="1" s="1"/>
  <c r="I114" i="1" s="1"/>
  <c r="J114" i="1" s="1"/>
  <c r="F118" i="7"/>
  <c r="F117" i="7"/>
  <c r="F103" i="7"/>
  <c r="F87" i="7"/>
  <c r="F85" i="7"/>
  <c r="F71" i="7"/>
  <c r="F67" i="7"/>
  <c r="D23" i="7"/>
  <c r="D22" i="7"/>
  <c r="E6" i="7"/>
  <c r="F6" i="7" s="1"/>
  <c r="G6" i="7" s="1"/>
  <c r="E219" i="7"/>
  <c r="E173" i="1" s="1"/>
  <c r="F173" i="1" s="1"/>
  <c r="G173" i="1" s="1"/>
  <c r="H173" i="1" s="1"/>
  <c r="I173" i="1" s="1"/>
  <c r="J173" i="1" s="1"/>
  <c r="K173" i="1" s="1"/>
  <c r="E218" i="7"/>
  <c r="E172" i="1" s="1"/>
  <c r="F172" i="1" s="1"/>
  <c r="G172" i="1" s="1"/>
  <c r="H172" i="1" s="1"/>
  <c r="I172" i="1" s="1"/>
  <c r="J172" i="1" s="1"/>
  <c r="K172" i="1" s="1"/>
  <c r="E216" i="7"/>
  <c r="E170" i="1" s="1"/>
  <c r="F170" i="1" s="1"/>
  <c r="G170" i="1" s="1"/>
  <c r="H170" i="1" s="1"/>
  <c r="I170" i="1" s="1"/>
  <c r="J170" i="1" s="1"/>
  <c r="K170" i="1" s="1"/>
  <c r="E215" i="7"/>
  <c r="E169" i="1" s="1"/>
  <c r="F169" i="1" s="1"/>
  <c r="G169" i="1" s="1"/>
  <c r="H169" i="1" s="1"/>
  <c r="I169" i="1" s="1"/>
  <c r="J169" i="1" s="1"/>
  <c r="K169" i="1" s="1"/>
  <c r="E214" i="7"/>
  <c r="E168" i="1" s="1"/>
  <c r="F168" i="1" s="1"/>
  <c r="G168" i="1" s="1"/>
  <c r="H168" i="1" s="1"/>
  <c r="I168" i="1" s="1"/>
  <c r="J168" i="1" s="1"/>
  <c r="K168" i="1" s="1"/>
  <c r="E213" i="7"/>
  <c r="E167" i="1" s="1"/>
  <c r="F167" i="1" s="1"/>
  <c r="G167" i="1" s="1"/>
  <c r="H167" i="1" s="1"/>
  <c r="I167" i="1" s="1"/>
  <c r="J167" i="1" s="1"/>
  <c r="K167" i="1" s="1"/>
  <c r="E212" i="7"/>
  <c r="E166" i="1" s="1"/>
  <c r="F166" i="1" s="1"/>
  <c r="G166" i="1" s="1"/>
  <c r="H166" i="1" s="1"/>
  <c r="I166" i="1" s="1"/>
  <c r="J166" i="1" s="1"/>
  <c r="K166" i="1" s="1"/>
  <c r="E211" i="7"/>
  <c r="E165" i="1" s="1"/>
  <c r="F165" i="1" s="1"/>
  <c r="G165" i="1" s="1"/>
  <c r="H165" i="1" s="1"/>
  <c r="I165" i="1" s="1"/>
  <c r="J165" i="1" s="1"/>
  <c r="K165" i="1" s="1"/>
  <c r="E210" i="7"/>
  <c r="E164" i="1" s="1"/>
  <c r="F164" i="1" s="1"/>
  <c r="G164" i="1" s="1"/>
  <c r="H164" i="1" s="1"/>
  <c r="I164" i="1" s="1"/>
  <c r="J164" i="1" s="1"/>
  <c r="K164" i="1" s="1"/>
  <c r="E209" i="7"/>
  <c r="E163" i="1" s="1"/>
  <c r="F163" i="1" s="1"/>
  <c r="G163" i="1" s="1"/>
  <c r="H163" i="1" s="1"/>
  <c r="I163" i="1" s="1"/>
  <c r="J163" i="1" s="1"/>
  <c r="K163" i="1" s="1"/>
  <c r="E208" i="7"/>
  <c r="E162" i="1" s="1"/>
  <c r="F162" i="1" s="1"/>
  <c r="G162" i="1" s="1"/>
  <c r="H162" i="1" s="1"/>
  <c r="I162" i="1" s="1"/>
  <c r="J162" i="1" s="1"/>
  <c r="K162" i="1" s="1"/>
  <c r="E207" i="7"/>
  <c r="E161" i="1" s="1"/>
  <c r="F161" i="1" s="1"/>
  <c r="G161" i="1" s="1"/>
  <c r="H161" i="1" s="1"/>
  <c r="I161" i="1" s="1"/>
  <c r="J161" i="1" s="1"/>
  <c r="K161" i="1" s="1"/>
  <c r="E206" i="7"/>
  <c r="E160" i="1" s="1"/>
  <c r="F160" i="1" s="1"/>
  <c r="G160" i="1" s="1"/>
  <c r="H160" i="1" s="1"/>
  <c r="I160" i="1" s="1"/>
  <c r="J160" i="1" s="1"/>
  <c r="K160" i="1" s="1"/>
  <c r="F111" i="7"/>
  <c r="F109" i="7"/>
  <c r="F95" i="7"/>
  <c r="F79" i="7"/>
  <c r="F77" i="7"/>
  <c r="F61" i="7"/>
  <c r="F59" i="7"/>
  <c r="E199" i="7"/>
  <c r="E156" i="1" s="1"/>
  <c r="F156" i="1" s="1"/>
  <c r="G156" i="1" s="1"/>
  <c r="H156" i="1" s="1"/>
  <c r="I156" i="1" s="1"/>
  <c r="J156" i="1" s="1"/>
  <c r="K156" i="1" s="1"/>
  <c r="E198" i="7"/>
  <c r="E155" i="1" s="1"/>
  <c r="E197" i="7"/>
  <c r="E154" i="1" s="1"/>
  <c r="F154" i="1" s="1"/>
  <c r="E191" i="7"/>
  <c r="E151" i="1" s="1"/>
  <c r="F151" i="1" s="1"/>
  <c r="G151" i="1" s="1"/>
  <c r="H151" i="1" s="1"/>
  <c r="I151" i="1" s="1"/>
  <c r="J151" i="1" s="1"/>
  <c r="K151" i="1" s="1"/>
  <c r="E189" i="7"/>
  <c r="E149" i="1" s="1"/>
  <c r="F149" i="1" s="1"/>
  <c r="G149" i="1" s="1"/>
  <c r="H149" i="1" s="1"/>
  <c r="I149" i="1" s="1"/>
  <c r="J149" i="1" s="1"/>
  <c r="K149" i="1" s="1"/>
  <c r="E187" i="7"/>
  <c r="E147" i="1" s="1"/>
  <c r="F147" i="1" s="1"/>
  <c r="G147" i="1" s="1"/>
  <c r="H147" i="1" s="1"/>
  <c r="I147" i="1" s="1"/>
  <c r="J147" i="1" s="1"/>
  <c r="K147" i="1" s="1"/>
  <c r="E186" i="7"/>
  <c r="E146" i="1" s="1"/>
  <c r="F146" i="1" s="1"/>
  <c r="G146" i="1" s="1"/>
  <c r="H146" i="1" s="1"/>
  <c r="I146" i="1" s="1"/>
  <c r="J146" i="1" s="1"/>
  <c r="K146" i="1" s="1"/>
  <c r="E185" i="7"/>
  <c r="E145" i="1" s="1"/>
  <c r="F145" i="1" s="1"/>
  <c r="G145" i="1" s="1"/>
  <c r="H145" i="1" s="1"/>
  <c r="I145" i="1" s="1"/>
  <c r="J145" i="1" s="1"/>
  <c r="K145" i="1" s="1"/>
  <c r="E184" i="7"/>
  <c r="E144" i="1" s="1"/>
  <c r="F144" i="1" s="1"/>
  <c r="F177" i="7"/>
  <c r="E140" i="1" s="1"/>
  <c r="F140" i="1" s="1"/>
  <c r="G140" i="1" s="1"/>
  <c r="H140" i="1" s="1"/>
  <c r="F176" i="7"/>
  <c r="E139" i="1" s="1"/>
  <c r="F139" i="1" s="1"/>
  <c r="G139" i="1" s="1"/>
  <c r="H139" i="1" s="1"/>
  <c r="I139" i="1" s="1"/>
  <c r="J139" i="1" s="1"/>
  <c r="E168" i="7"/>
  <c r="E167" i="7"/>
  <c r="E166" i="7"/>
  <c r="E165" i="7"/>
  <c r="E164" i="7"/>
  <c r="D157" i="7"/>
  <c r="E135" i="1" s="1"/>
  <c r="F135" i="1" s="1"/>
  <c r="G135" i="1" s="1"/>
  <c r="H135" i="1" s="1"/>
  <c r="I135" i="1" s="1"/>
  <c r="J135" i="1" s="1"/>
  <c r="K135" i="1" s="1"/>
  <c r="D156" i="7"/>
  <c r="E134" i="1" s="1"/>
  <c r="F134" i="1" s="1"/>
  <c r="G134" i="1" s="1"/>
  <c r="H134" i="1" s="1"/>
  <c r="I134" i="1" s="1"/>
  <c r="J134" i="1" s="1"/>
  <c r="K134" i="1" s="1"/>
  <c r="D155" i="7"/>
  <c r="E133" i="1" s="1"/>
  <c r="F133" i="1" s="1"/>
  <c r="G133" i="1" s="1"/>
  <c r="H133" i="1" s="1"/>
  <c r="I133" i="1" s="1"/>
  <c r="J133" i="1" s="1"/>
  <c r="K133" i="1" s="1"/>
  <c r="D154" i="7"/>
  <c r="E132" i="1" s="1"/>
  <c r="F132" i="1" s="1"/>
  <c r="G132" i="1" s="1"/>
  <c r="H132" i="1" s="1"/>
  <c r="I132" i="1" s="1"/>
  <c r="J132" i="1" s="1"/>
  <c r="K132" i="1" s="1"/>
  <c r="D153" i="7"/>
  <c r="E131" i="1" s="1"/>
  <c r="F131" i="1" s="1"/>
  <c r="G131" i="1" s="1"/>
  <c r="H131" i="1" s="1"/>
  <c r="I131" i="1" s="1"/>
  <c r="J131" i="1" s="1"/>
  <c r="K131" i="1" s="1"/>
  <c r="D152" i="7"/>
  <c r="E129" i="1" s="1"/>
  <c r="F129" i="1" s="1"/>
  <c r="G129" i="1" s="1"/>
  <c r="H129" i="1" s="1"/>
  <c r="I129" i="1" s="1"/>
  <c r="J129" i="1" s="1"/>
  <c r="K129" i="1" s="1"/>
  <c r="D151" i="7"/>
  <c r="E128" i="1" s="1"/>
  <c r="F128" i="1" s="1"/>
  <c r="G128" i="1" s="1"/>
  <c r="H128" i="1" s="1"/>
  <c r="I128" i="1" s="1"/>
  <c r="J128" i="1" s="1"/>
  <c r="K128" i="1" s="1"/>
  <c r="D150" i="7"/>
  <c r="E127" i="1" s="1"/>
  <c r="F127" i="1" s="1"/>
  <c r="G127" i="1" s="1"/>
  <c r="H127" i="1" s="1"/>
  <c r="I127" i="1" s="1"/>
  <c r="J127" i="1" s="1"/>
  <c r="K127" i="1" s="1"/>
  <c r="D149" i="7"/>
  <c r="E126" i="1" s="1"/>
  <c r="F126" i="1" s="1"/>
  <c r="E142" i="7"/>
  <c r="E122" i="1" s="1"/>
  <c r="F122" i="1" s="1"/>
  <c r="G122" i="1" s="1"/>
  <c r="H122" i="1" s="1"/>
  <c r="I122" i="1" s="1"/>
  <c r="J122" i="1" s="1"/>
  <c r="K122" i="1" s="1"/>
  <c r="E140" i="7"/>
  <c r="E120" i="1" s="1"/>
  <c r="F120" i="1" s="1"/>
  <c r="G120" i="1" s="1"/>
  <c r="H120" i="1" s="1"/>
  <c r="I120" i="1" s="1"/>
  <c r="J120" i="1" s="1"/>
  <c r="K120" i="1" s="1"/>
  <c r="F134" i="7"/>
  <c r="E117" i="1" s="1"/>
  <c r="F117" i="1" s="1"/>
  <c r="G117" i="1" s="1"/>
  <c r="H117" i="1" s="1"/>
  <c r="I117" i="1" s="1"/>
  <c r="J117" i="1" s="1"/>
  <c r="K117" i="1" s="1"/>
  <c r="F133" i="7"/>
  <c r="E116" i="1" s="1"/>
  <c r="F116" i="1" s="1"/>
  <c r="G116" i="1" s="1"/>
  <c r="H116" i="1" s="1"/>
  <c r="I116" i="1" s="1"/>
  <c r="J116" i="1" s="1"/>
  <c r="K116" i="1" s="1"/>
  <c r="F132" i="7"/>
  <c r="E115" i="1" s="1"/>
  <c r="F115" i="1" s="1"/>
  <c r="G115" i="1" s="1"/>
  <c r="H115" i="1" s="1"/>
  <c r="I115" i="1" s="1"/>
  <c r="J115" i="1" s="1"/>
  <c r="K115" i="1" s="1"/>
  <c r="F125" i="7"/>
  <c r="E111" i="1" s="1"/>
  <c r="F111" i="1" s="1"/>
  <c r="G111" i="1" s="1"/>
  <c r="H111" i="1" s="1"/>
  <c r="I111" i="1" s="1"/>
  <c r="J111" i="1" s="1"/>
  <c r="K111" i="1" s="1"/>
  <c r="E44" i="7"/>
  <c r="E43" i="7"/>
  <c r="E42" i="7"/>
  <c r="D15" i="7"/>
  <c r="D14" i="7"/>
  <c r="E7" i="7"/>
  <c r="F7" i="7" s="1"/>
  <c r="Q90" i="2"/>
  <c r="E74" i="1" s="1"/>
  <c r="Q89" i="2"/>
  <c r="R89" i="2" s="1"/>
  <c r="F73" i="1" s="1"/>
  <c r="A185" i="1"/>
  <c r="E205" i="7"/>
  <c r="E159" i="1" s="1"/>
  <c r="F159" i="1" s="1"/>
  <c r="G159" i="1" s="1"/>
  <c r="H159" i="1" s="1"/>
  <c r="I159" i="1" s="1"/>
  <c r="J159" i="1" s="1"/>
  <c r="K159" i="1" s="1"/>
  <c r="F70" i="1"/>
  <c r="E143" i="7"/>
  <c r="E123" i="1" s="1"/>
  <c r="F66" i="1"/>
  <c r="J71" i="1"/>
  <c r="K67" i="1"/>
  <c r="K71" i="1"/>
  <c r="R46" i="2" l="1"/>
  <c r="S46" i="2" s="1"/>
  <c r="T46" i="2" s="1"/>
  <c r="U46" i="2" s="1"/>
  <c r="V46" i="2" s="1"/>
  <c r="W46" i="2" s="1"/>
  <c r="E36" i="9"/>
  <c r="F36" i="9" s="1"/>
  <c r="E88" i="1"/>
  <c r="F35" i="9"/>
  <c r="N15" i="12"/>
  <c r="B47" i="2"/>
  <c r="R90" i="2"/>
  <c r="F74" i="1" s="1"/>
  <c r="B75" i="2"/>
  <c r="C27" i="13"/>
  <c r="B70" i="2"/>
  <c r="S89" i="2"/>
  <c r="G73" i="1" s="1"/>
  <c r="E73" i="1"/>
  <c r="N14" i="12"/>
  <c r="E32" i="2"/>
  <c r="F33" i="2" s="1"/>
  <c r="G34" i="2" s="1"/>
  <c r="H35" i="2" s="1"/>
  <c r="I36" i="2" s="1"/>
  <c r="J37" i="2" s="1"/>
  <c r="K38" i="2" s="1"/>
  <c r="L39" i="2" s="1"/>
  <c r="M40" i="2" s="1"/>
  <c r="N41" i="2" s="1"/>
  <c r="D7" i="2"/>
  <c r="D83" i="2" s="1"/>
  <c r="F7" i="15"/>
  <c r="H54" i="1"/>
  <c r="AQ28" i="13"/>
  <c r="V23" i="14" s="1"/>
  <c r="G63" i="1"/>
  <c r="I62" i="1"/>
  <c r="D56" i="1"/>
  <c r="K62" i="1"/>
  <c r="K55" i="1"/>
  <c r="G55" i="1"/>
  <c r="I55" i="1"/>
  <c r="E63" i="1"/>
  <c r="K63" i="1"/>
  <c r="I63" i="1"/>
  <c r="J55" i="1"/>
  <c r="F54" i="1"/>
  <c r="G54" i="1"/>
  <c r="G62" i="1"/>
  <c r="K54" i="1"/>
  <c r="F88" i="7"/>
  <c r="E105" i="1" s="1"/>
  <c r="F105" i="1" s="1"/>
  <c r="G105" i="1" s="1"/>
  <c r="H105" i="1" s="1"/>
  <c r="I105" i="1" s="1"/>
  <c r="J105" i="1" s="1"/>
  <c r="K105" i="1" s="1"/>
  <c r="E55" i="1"/>
  <c r="H55" i="1"/>
  <c r="E62" i="1"/>
  <c r="J62" i="1"/>
  <c r="F63" i="1"/>
  <c r="D64" i="1"/>
  <c r="I54" i="1"/>
  <c r="N12" i="12"/>
  <c r="Z49" i="2"/>
  <c r="C31" i="2"/>
  <c r="C49" i="2"/>
  <c r="C217" i="7" s="1"/>
  <c r="E217" i="7" s="1"/>
  <c r="E171" i="1" s="1"/>
  <c r="E38" i="9"/>
  <c r="F38" i="9" s="1"/>
  <c r="G88" i="1"/>
  <c r="I88" i="1"/>
  <c r="F41" i="9"/>
  <c r="E39" i="9"/>
  <c r="F39" i="9" s="1"/>
  <c r="V15" i="14"/>
  <c r="U15" i="14"/>
  <c r="W15" i="14"/>
  <c r="X15" i="14"/>
  <c r="X7" i="14"/>
  <c r="U7" i="14"/>
  <c r="V7" i="14"/>
  <c r="W7" i="14"/>
  <c r="Z32" i="2"/>
  <c r="E18" i="13" s="1"/>
  <c r="Z41" i="2"/>
  <c r="N18" i="13" s="1"/>
  <c r="Z40" i="2"/>
  <c r="M18" i="13" s="1"/>
  <c r="F72" i="7"/>
  <c r="E104" i="1" s="1"/>
  <c r="F104" i="1" s="1"/>
  <c r="G104" i="1" s="1"/>
  <c r="H104" i="1" s="1"/>
  <c r="I104" i="1" s="1"/>
  <c r="J104" i="1" s="1"/>
  <c r="K104" i="1" s="1"/>
  <c r="F104" i="7"/>
  <c r="E106" i="1" s="1"/>
  <c r="F106" i="1" s="1"/>
  <c r="G106" i="1" s="1"/>
  <c r="H106" i="1" s="1"/>
  <c r="I106" i="1" s="1"/>
  <c r="J106" i="1" s="1"/>
  <c r="K106" i="1" s="1"/>
  <c r="E171" i="7"/>
  <c r="E130" i="1" s="1"/>
  <c r="F130" i="1" s="1"/>
  <c r="G130" i="1" s="1"/>
  <c r="H130" i="1" s="1"/>
  <c r="I130" i="1" s="1"/>
  <c r="J130" i="1" s="1"/>
  <c r="K130" i="1" s="1"/>
  <c r="D16" i="7"/>
  <c r="E83" i="1" s="1"/>
  <c r="F83" i="1" s="1"/>
  <c r="G83" i="1" s="1"/>
  <c r="H83" i="1" s="1"/>
  <c r="I83" i="1" s="1"/>
  <c r="J83" i="1" s="1"/>
  <c r="K83" i="1" s="1"/>
  <c r="F135" i="7"/>
  <c r="F80" i="7"/>
  <c r="E100" i="1" s="1"/>
  <c r="F100" i="1" s="1"/>
  <c r="G100" i="1" s="1"/>
  <c r="H100" i="1" s="1"/>
  <c r="I100" i="1" s="1"/>
  <c r="J100" i="1" s="1"/>
  <c r="K100" i="1" s="1"/>
  <c r="AN38" i="13"/>
  <c r="AP39" i="13" s="1"/>
  <c r="J46" i="1"/>
  <c r="Q41" i="2"/>
  <c r="AF38" i="13"/>
  <c r="AH39" i="13" s="1"/>
  <c r="Q36" i="2"/>
  <c r="F41" i="2"/>
  <c r="C32" i="2"/>
  <c r="D33" i="2" s="1"/>
  <c r="E34" i="2" s="1"/>
  <c r="F35" i="2" s="1"/>
  <c r="G36" i="2" s="1"/>
  <c r="H37" i="2" s="1"/>
  <c r="I38" i="2" s="1"/>
  <c r="J39" i="2" s="1"/>
  <c r="K40" i="2" s="1"/>
  <c r="B42" i="2"/>
  <c r="D41" i="2"/>
  <c r="H41" i="2"/>
  <c r="Q40" i="2"/>
  <c r="D40" i="2"/>
  <c r="H40" i="2"/>
  <c r="R36" i="2"/>
  <c r="Q35" i="2"/>
  <c r="I30" i="1"/>
  <c r="Z9" i="2"/>
  <c r="C5" i="13"/>
  <c r="AI26" i="13" s="1"/>
  <c r="J63" i="1"/>
  <c r="H62" i="1"/>
  <c r="B68" i="2"/>
  <c r="C37" i="2"/>
  <c r="D38" i="2" s="1"/>
  <c r="E39" i="2" s="1"/>
  <c r="F62" i="1"/>
  <c r="H63" i="1"/>
  <c r="J22" i="1"/>
  <c r="Z38" i="2"/>
  <c r="K18" i="13" s="1"/>
  <c r="E54" i="1"/>
  <c r="H30" i="1"/>
  <c r="Z34" i="2"/>
  <c r="G18" i="13" s="1"/>
  <c r="F31" i="1"/>
  <c r="F30" i="1"/>
  <c r="G31" i="1"/>
  <c r="J54" i="1"/>
  <c r="F55" i="1"/>
  <c r="Z37" i="2"/>
  <c r="J18" i="13" s="1"/>
  <c r="Z33" i="2"/>
  <c r="F18" i="13" s="1"/>
  <c r="Z31" i="2"/>
  <c r="D18" i="13" s="1"/>
  <c r="Z36" i="2"/>
  <c r="I18" i="13" s="1"/>
  <c r="G23" i="1"/>
  <c r="Z39" i="2"/>
  <c r="L18" i="13" s="1"/>
  <c r="Z35" i="2"/>
  <c r="H18" i="13" s="1"/>
  <c r="E54" i="7"/>
  <c r="E94" i="1" s="1"/>
  <c r="F94" i="1" s="1"/>
  <c r="G94" i="1" s="1"/>
  <c r="F126" i="7"/>
  <c r="F96" i="7"/>
  <c r="E101" i="1" s="1"/>
  <c r="F101" i="1" s="1"/>
  <c r="G101" i="1" s="1"/>
  <c r="H101" i="1" s="1"/>
  <c r="I101" i="1" s="1"/>
  <c r="J101" i="1" s="1"/>
  <c r="K101" i="1" s="1"/>
  <c r="K114" i="1"/>
  <c r="K118" i="1" s="1"/>
  <c r="J118" i="1"/>
  <c r="E157" i="1"/>
  <c r="F155" i="1"/>
  <c r="G155" i="1" s="1"/>
  <c r="H155" i="1" s="1"/>
  <c r="I155" i="1" s="1"/>
  <c r="J155" i="1" s="1"/>
  <c r="K155" i="1" s="1"/>
  <c r="G110" i="1"/>
  <c r="F112" i="1"/>
  <c r="F152" i="1"/>
  <c r="G144" i="1"/>
  <c r="E45" i="7"/>
  <c r="E95" i="1" s="1"/>
  <c r="F95" i="1" s="1"/>
  <c r="G95" i="1" s="1"/>
  <c r="H95" i="1" s="1"/>
  <c r="I95" i="1" s="1"/>
  <c r="J95" i="1" s="1"/>
  <c r="K95" i="1" s="1"/>
  <c r="F112" i="7"/>
  <c r="E102" i="1" s="1"/>
  <c r="F102" i="1" s="1"/>
  <c r="G102" i="1" s="1"/>
  <c r="H102" i="1" s="1"/>
  <c r="I102" i="1" s="1"/>
  <c r="J102" i="1" s="1"/>
  <c r="K102" i="1" s="1"/>
  <c r="D24" i="7"/>
  <c r="E91" i="1" s="1"/>
  <c r="F91" i="1" s="1"/>
  <c r="G91" i="1" s="1"/>
  <c r="H91" i="1" s="1"/>
  <c r="I91" i="1" s="1"/>
  <c r="J91" i="1" s="1"/>
  <c r="K91" i="1" s="1"/>
  <c r="F119" i="7"/>
  <c r="E107" i="1" s="1"/>
  <c r="F107" i="1" s="1"/>
  <c r="G107" i="1" s="1"/>
  <c r="H107" i="1" s="1"/>
  <c r="I107" i="1" s="1"/>
  <c r="J107" i="1" s="1"/>
  <c r="K107" i="1" s="1"/>
  <c r="D159" i="7"/>
  <c r="E192" i="7"/>
  <c r="E112" i="1"/>
  <c r="F179" i="7"/>
  <c r="E200" i="7"/>
  <c r="F46" i="1"/>
  <c r="F23" i="1"/>
  <c r="Q30" i="2"/>
  <c r="Q39" i="2"/>
  <c r="Q38" i="2"/>
  <c r="Q33" i="2"/>
  <c r="R37" i="2"/>
  <c r="Q34" i="2"/>
  <c r="J30" i="1"/>
  <c r="K22" i="1"/>
  <c r="S39" i="2"/>
  <c r="R35" i="2"/>
  <c r="E30" i="1"/>
  <c r="E46" i="1"/>
  <c r="D32" i="1"/>
  <c r="D24" i="1"/>
  <c r="D48" i="1"/>
  <c r="K30" i="1"/>
  <c r="G46" i="1"/>
  <c r="I22" i="1"/>
  <c r="I47" i="1"/>
  <c r="H22" i="1"/>
  <c r="E22" i="1"/>
  <c r="K46" i="1"/>
  <c r="H47" i="1"/>
  <c r="T6" i="2"/>
  <c r="U6" i="2" s="1"/>
  <c r="V6" i="2" s="1"/>
  <c r="W6" i="2" s="1"/>
  <c r="Q9" i="2"/>
  <c r="H39" i="2"/>
  <c r="I40" i="2" s="1"/>
  <c r="S38" i="2"/>
  <c r="H38" i="2"/>
  <c r="S37" i="2"/>
  <c r="H118" i="1"/>
  <c r="I118" i="1"/>
  <c r="H142" i="1"/>
  <c r="I140" i="1"/>
  <c r="G126" i="1"/>
  <c r="G142" i="1"/>
  <c r="K139" i="1"/>
  <c r="G118" i="1"/>
  <c r="G154" i="1"/>
  <c r="F142" i="1"/>
  <c r="F62" i="7"/>
  <c r="E99" i="1" s="1"/>
  <c r="F118" i="1"/>
  <c r="E8" i="7"/>
  <c r="E81" i="1" s="1"/>
  <c r="E152" i="1"/>
  <c r="G7" i="7"/>
  <c r="G8" i="7" s="1"/>
  <c r="E142" i="1"/>
  <c r="E118" i="1"/>
  <c r="F8" i="7"/>
  <c r="E82" i="1" s="1"/>
  <c r="F82" i="1" s="1"/>
  <c r="G82" i="1" s="1"/>
  <c r="H82" i="1" s="1"/>
  <c r="I82" i="1" s="1"/>
  <c r="J82" i="1" s="1"/>
  <c r="K82" i="1" s="1"/>
  <c r="J88" i="1"/>
  <c r="N13" i="12"/>
  <c r="G15" i="1"/>
  <c r="G7" i="16" s="1"/>
  <c r="C3" i="13"/>
  <c r="B83" i="2"/>
  <c r="Q7" i="2"/>
  <c r="B28" i="2"/>
  <c r="B14" i="2"/>
  <c r="S90" i="2" l="1"/>
  <c r="T90" i="2" s="1"/>
  <c r="T89" i="2"/>
  <c r="H73" i="1" s="1"/>
  <c r="E137" i="1"/>
  <c r="D68" i="2"/>
  <c r="D14" i="2"/>
  <c r="X23" i="14"/>
  <c r="W23" i="14"/>
  <c r="U23" i="14"/>
  <c r="E3" i="13"/>
  <c r="D54" i="2"/>
  <c r="D75" i="2"/>
  <c r="D28" i="2"/>
  <c r="R7" i="2"/>
  <c r="R54" i="2" s="1"/>
  <c r="D47" i="2"/>
  <c r="AQ29" i="13"/>
  <c r="C28" i="13"/>
  <c r="E28" i="13"/>
  <c r="D32" i="2"/>
  <c r="C70" i="2"/>
  <c r="Q70" i="2" s="1"/>
  <c r="E40" i="1" s="1"/>
  <c r="G7" i="15"/>
  <c r="F137" i="1"/>
  <c r="Q49" i="2"/>
  <c r="D49" i="2"/>
  <c r="D17" i="13" s="1"/>
  <c r="D19" i="13" s="1"/>
  <c r="S36" i="2"/>
  <c r="E49" i="2"/>
  <c r="E17" i="13" s="1"/>
  <c r="E19" i="13" s="1"/>
  <c r="R9" i="2"/>
  <c r="AL26" i="13"/>
  <c r="AT26" i="13"/>
  <c r="B59" i="2"/>
  <c r="B56" i="2"/>
  <c r="B60" i="2"/>
  <c r="B57" i="2"/>
  <c r="B58" i="2"/>
  <c r="E31" i="2"/>
  <c r="H94" i="1"/>
  <c r="I94" i="1" s="1"/>
  <c r="Q32" i="2"/>
  <c r="R34" i="2"/>
  <c r="L41" i="2"/>
  <c r="J41" i="2"/>
  <c r="C42" i="2"/>
  <c r="E41" i="2"/>
  <c r="R40" i="2"/>
  <c r="F40" i="2"/>
  <c r="I41" i="2"/>
  <c r="T41" i="2" s="1"/>
  <c r="T40" i="2"/>
  <c r="R38" i="2"/>
  <c r="Q31" i="2"/>
  <c r="D6" i="13"/>
  <c r="AT27" i="13" s="1"/>
  <c r="D27" i="13" s="1"/>
  <c r="Q37" i="2"/>
  <c r="R39" i="2"/>
  <c r="F31" i="2"/>
  <c r="F157" i="1"/>
  <c r="H144" i="1"/>
  <c r="G152" i="1"/>
  <c r="G112" i="1"/>
  <c r="H110" i="1"/>
  <c r="G137" i="1"/>
  <c r="H126" i="1"/>
  <c r="J140" i="1"/>
  <c r="I142" i="1"/>
  <c r="G157" i="1"/>
  <c r="H154" i="1"/>
  <c r="T38" i="2"/>
  <c r="I39" i="2"/>
  <c r="T39" i="2" s="1"/>
  <c r="F99" i="1"/>
  <c r="E108" i="1"/>
  <c r="F81" i="1"/>
  <c r="F7" i="2"/>
  <c r="H15" i="1"/>
  <c r="H7" i="16" s="1"/>
  <c r="Q75" i="2"/>
  <c r="Q68" i="2"/>
  <c r="Q28" i="2"/>
  <c r="Q14" i="2"/>
  <c r="Q47" i="2"/>
  <c r="Q54" i="2"/>
  <c r="Q83" i="2"/>
  <c r="G74" i="1" l="1"/>
  <c r="U89" i="2"/>
  <c r="R47" i="2"/>
  <c r="R75" i="2"/>
  <c r="R14" i="2"/>
  <c r="R68" i="2"/>
  <c r="R28" i="2"/>
  <c r="R83" i="2"/>
  <c r="Y26" i="13"/>
  <c r="W26" i="13"/>
  <c r="AC26" i="13"/>
  <c r="I26" i="13"/>
  <c r="Q26" i="13"/>
  <c r="S26" i="13"/>
  <c r="M26" i="13"/>
  <c r="G26" i="13"/>
  <c r="O26" i="13"/>
  <c r="E26" i="13"/>
  <c r="AA26" i="13"/>
  <c r="K26" i="13"/>
  <c r="U26" i="13"/>
  <c r="AB26" i="13"/>
  <c r="L26" i="13"/>
  <c r="V26" i="13"/>
  <c r="T26" i="13"/>
  <c r="AD26" i="13"/>
  <c r="P26" i="13"/>
  <c r="Z26" i="13"/>
  <c r="X26" i="13"/>
  <c r="H26" i="13"/>
  <c r="R26" i="13"/>
  <c r="J26" i="13"/>
  <c r="N26" i="13"/>
  <c r="F26" i="13"/>
  <c r="AQ30" i="13"/>
  <c r="E29" i="13"/>
  <c r="C29" i="13"/>
  <c r="G29" i="13"/>
  <c r="X31" i="14"/>
  <c r="V31" i="14"/>
  <c r="U31" i="14"/>
  <c r="W31" i="14"/>
  <c r="F32" i="2"/>
  <c r="G33" i="2" s="1"/>
  <c r="H34" i="2" s="1"/>
  <c r="I35" i="2" s="1"/>
  <c r="J36" i="2" s="1"/>
  <c r="K37" i="2" s="1"/>
  <c r="L38" i="2" s="1"/>
  <c r="M39" i="2" s="1"/>
  <c r="N40" i="2" s="1"/>
  <c r="O41" i="2" s="1"/>
  <c r="G32" i="2"/>
  <c r="H33" i="2" s="1"/>
  <c r="I34" i="2" s="1"/>
  <c r="J35" i="2" s="1"/>
  <c r="K36" i="2" s="1"/>
  <c r="L37" i="2" s="1"/>
  <c r="M38" i="2" s="1"/>
  <c r="N39" i="2" s="1"/>
  <c r="O40" i="2" s="1"/>
  <c r="E33" i="2"/>
  <c r="F34" i="2" s="1"/>
  <c r="G35" i="2" s="1"/>
  <c r="H36" i="2" s="1"/>
  <c r="D70" i="2"/>
  <c r="H7" i="15"/>
  <c r="E48" i="1"/>
  <c r="E56" i="1"/>
  <c r="E24" i="1"/>
  <c r="F171" i="1"/>
  <c r="R49" i="2"/>
  <c r="R30" i="2"/>
  <c r="D26" i="13"/>
  <c r="J7" i="14"/>
  <c r="J9" i="14" s="1"/>
  <c r="L7" i="14"/>
  <c r="L9" i="14" s="1"/>
  <c r="K7" i="14"/>
  <c r="K9" i="14" s="1"/>
  <c r="I7" i="14"/>
  <c r="I9" i="14" s="1"/>
  <c r="B11" i="1"/>
  <c r="C26" i="13"/>
  <c r="AI27" i="13"/>
  <c r="AL27" i="13"/>
  <c r="C57" i="2"/>
  <c r="Q57" i="2" s="1"/>
  <c r="C58" i="2"/>
  <c r="Q58" i="2" s="1"/>
  <c r="C60" i="2"/>
  <c r="Q60" i="2" s="1"/>
  <c r="C59" i="2"/>
  <c r="Q59" i="2" s="1"/>
  <c r="C56" i="2"/>
  <c r="Q56" i="2" s="1"/>
  <c r="R41" i="2"/>
  <c r="F49" i="2"/>
  <c r="F17" i="13" s="1"/>
  <c r="F19" i="13" s="1"/>
  <c r="Q42" i="2"/>
  <c r="D42" i="2"/>
  <c r="J40" i="2"/>
  <c r="G41" i="2"/>
  <c r="S40" i="2"/>
  <c r="H74" i="1"/>
  <c r="E7" i="13"/>
  <c r="AL28" i="13" s="1"/>
  <c r="R32" i="2"/>
  <c r="S9" i="2"/>
  <c r="G31" i="2"/>
  <c r="U90" i="2"/>
  <c r="V90" i="2" s="1"/>
  <c r="J74" i="1" s="1"/>
  <c r="B141" i="7"/>
  <c r="E141" i="7" s="1"/>
  <c r="Q62" i="2"/>
  <c r="Q61" i="2"/>
  <c r="C220" i="7"/>
  <c r="E220" i="7" s="1"/>
  <c r="H112" i="1"/>
  <c r="I110" i="1"/>
  <c r="H152" i="1"/>
  <c r="I144" i="1"/>
  <c r="K140" i="1"/>
  <c r="K142" i="1" s="1"/>
  <c r="J142" i="1"/>
  <c r="R31" i="2"/>
  <c r="H137" i="1"/>
  <c r="I126" i="1"/>
  <c r="J94" i="1"/>
  <c r="G81" i="1"/>
  <c r="G99" i="1"/>
  <c r="F108" i="1"/>
  <c r="I154" i="1"/>
  <c r="H157" i="1"/>
  <c r="I15" i="1"/>
  <c r="I7" i="16" s="1"/>
  <c r="H7" i="2"/>
  <c r="F75" i="2"/>
  <c r="F83" i="2"/>
  <c r="F68" i="2"/>
  <c r="F14" i="2"/>
  <c r="S7" i="2"/>
  <c r="F47" i="2"/>
  <c r="F54" i="2"/>
  <c r="G3" i="13"/>
  <c r="F28" i="2"/>
  <c r="V89" i="2" l="1"/>
  <c r="I73" i="1"/>
  <c r="E42" i="2"/>
  <c r="E56" i="2" s="1"/>
  <c r="E38" i="1"/>
  <c r="G49" i="2"/>
  <c r="G171" i="1" s="1"/>
  <c r="AA27" i="13"/>
  <c r="W27" i="13"/>
  <c r="S27" i="13"/>
  <c r="O27" i="13"/>
  <c r="K27" i="13"/>
  <c r="G27" i="13"/>
  <c r="AC27" i="13"/>
  <c r="X27" i="13"/>
  <c r="R27" i="13"/>
  <c r="M27" i="13"/>
  <c r="H27" i="13"/>
  <c r="U27" i="13"/>
  <c r="AD27" i="13"/>
  <c r="T27" i="13"/>
  <c r="AB27" i="13"/>
  <c r="V27" i="13"/>
  <c r="Q27" i="13"/>
  <c r="L27" i="13"/>
  <c r="Z27" i="13"/>
  <c r="P27" i="13"/>
  <c r="I27" i="13"/>
  <c r="J27" i="13"/>
  <c r="Y27" i="13"/>
  <c r="N27" i="13"/>
  <c r="I37" i="2"/>
  <c r="J38" i="2" s="1"/>
  <c r="K39" i="2" s="1"/>
  <c r="L40" i="2" s="1"/>
  <c r="M41" i="2" s="1"/>
  <c r="AQ31" i="13"/>
  <c r="C30" i="13"/>
  <c r="I30" i="13"/>
  <c r="E30" i="13"/>
  <c r="G30" i="13"/>
  <c r="W39" i="14"/>
  <c r="V39" i="14"/>
  <c r="X39" i="14"/>
  <c r="U39" i="14"/>
  <c r="E70" i="2"/>
  <c r="R70" i="2" s="1"/>
  <c r="F40" i="1" s="1"/>
  <c r="F70" i="2"/>
  <c r="H32" i="2"/>
  <c r="I33" i="2" s="1"/>
  <c r="J34" i="2" s="1"/>
  <c r="K35" i="2" s="1"/>
  <c r="L36" i="2" s="1"/>
  <c r="M37" i="2" s="1"/>
  <c r="N38" i="2" s="1"/>
  <c r="O39" i="2" s="1"/>
  <c r="G70" i="2"/>
  <c r="I7" i="15"/>
  <c r="F27" i="13"/>
  <c r="E27" i="13"/>
  <c r="I15" i="14"/>
  <c r="I17" i="14" s="1"/>
  <c r="J15" i="14"/>
  <c r="J17" i="14" s="1"/>
  <c r="L15" i="14"/>
  <c r="L17" i="14" s="1"/>
  <c r="K15" i="14"/>
  <c r="K17" i="14" s="1"/>
  <c r="AI28" i="13"/>
  <c r="AT28" i="13"/>
  <c r="D56" i="2"/>
  <c r="D60" i="2"/>
  <c r="D57" i="2"/>
  <c r="D59" i="2"/>
  <c r="D58" i="2"/>
  <c r="S41" i="2"/>
  <c r="H49" i="2"/>
  <c r="E39" i="1"/>
  <c r="K41" i="2"/>
  <c r="U40" i="2"/>
  <c r="W90" i="2"/>
  <c r="K74" i="1" s="1"/>
  <c r="I74" i="1"/>
  <c r="F8" i="13"/>
  <c r="F42" i="2"/>
  <c r="R33" i="2"/>
  <c r="R42" i="2" s="1"/>
  <c r="F123" i="1"/>
  <c r="Q63" i="2"/>
  <c r="H31" i="2"/>
  <c r="E174" i="1"/>
  <c r="E178" i="1" s="1"/>
  <c r="E224" i="7"/>
  <c r="E121" i="1"/>
  <c r="E124" i="1" s="1"/>
  <c r="E144" i="7"/>
  <c r="J110" i="1"/>
  <c r="I112" i="1"/>
  <c r="I152" i="1"/>
  <c r="J144" i="1"/>
  <c r="J154" i="1"/>
  <c r="I157" i="1"/>
  <c r="J126" i="1"/>
  <c r="I137" i="1"/>
  <c r="H81" i="1"/>
  <c r="K94" i="1"/>
  <c r="H99" i="1"/>
  <c r="G108" i="1"/>
  <c r="H14" i="2"/>
  <c r="H28" i="2"/>
  <c r="H47" i="2"/>
  <c r="T7" i="2"/>
  <c r="H75" i="2"/>
  <c r="H83" i="2"/>
  <c r="H54" i="2"/>
  <c r="H68" i="2"/>
  <c r="I3" i="13"/>
  <c r="J15" i="1"/>
  <c r="J7" i="16" s="1"/>
  <c r="J7" i="2"/>
  <c r="S28" i="2"/>
  <c r="S83" i="2"/>
  <c r="S14" i="2"/>
  <c r="S75" i="2"/>
  <c r="S54" i="2"/>
  <c r="S68" i="2"/>
  <c r="S47" i="2"/>
  <c r="E59" i="2" l="1"/>
  <c r="R59" i="2" s="1"/>
  <c r="E57" i="2"/>
  <c r="R57" i="2" s="1"/>
  <c r="E58" i="2"/>
  <c r="R58" i="2" s="1"/>
  <c r="E60" i="2"/>
  <c r="R60" i="2" s="1"/>
  <c r="J73" i="1"/>
  <c r="W89" i="2"/>
  <c r="K73" i="1" s="1"/>
  <c r="S49" i="2"/>
  <c r="G17" i="13"/>
  <c r="G19" i="13" s="1"/>
  <c r="I49" i="2"/>
  <c r="I17" i="13" s="1"/>
  <c r="I19" i="13" s="1"/>
  <c r="F28" i="13"/>
  <c r="D28" i="13"/>
  <c r="AC28" i="13"/>
  <c r="Y28" i="13"/>
  <c r="U28" i="13"/>
  <c r="Q28" i="13"/>
  <c r="M28" i="13"/>
  <c r="I28" i="13"/>
  <c r="AB28" i="13"/>
  <c r="W28" i="13"/>
  <c r="R28" i="13"/>
  <c r="L28" i="13"/>
  <c r="T28" i="13"/>
  <c r="O28" i="13"/>
  <c r="AD28" i="13"/>
  <c r="AA28" i="13"/>
  <c r="V28" i="13"/>
  <c r="P28" i="13"/>
  <c r="K28" i="13"/>
  <c r="X28" i="13"/>
  <c r="N28" i="13"/>
  <c r="Z28" i="13"/>
  <c r="J28" i="13"/>
  <c r="S28" i="13"/>
  <c r="AQ32" i="13"/>
  <c r="C31" i="13"/>
  <c r="I31" i="13"/>
  <c r="K31" i="13"/>
  <c r="G31" i="13"/>
  <c r="E31" i="13"/>
  <c r="X47" i="14"/>
  <c r="V47" i="14"/>
  <c r="U47" i="14"/>
  <c r="W47" i="14"/>
  <c r="I32" i="2"/>
  <c r="H70" i="2"/>
  <c r="J7" i="15"/>
  <c r="F48" i="1"/>
  <c r="F56" i="1"/>
  <c r="F24" i="1"/>
  <c r="AI29" i="13"/>
  <c r="I29" i="13" s="1"/>
  <c r="AT29" i="13"/>
  <c r="AL29" i="13"/>
  <c r="H28" i="13"/>
  <c r="G28" i="13"/>
  <c r="F58" i="2"/>
  <c r="F59" i="2"/>
  <c r="F60" i="2"/>
  <c r="F57" i="2"/>
  <c r="F56" i="2"/>
  <c r="I23" i="14"/>
  <c r="I25" i="14" s="1"/>
  <c r="L23" i="14"/>
  <c r="L25" i="14" s="1"/>
  <c r="K23" i="14"/>
  <c r="K25" i="14" s="1"/>
  <c r="J23" i="14"/>
  <c r="J25" i="14" s="1"/>
  <c r="U41" i="2"/>
  <c r="E75" i="1"/>
  <c r="E185" i="1" s="1"/>
  <c r="E186" i="1" s="1"/>
  <c r="F38" i="1"/>
  <c r="R56" i="2"/>
  <c r="R62" i="2"/>
  <c r="R61" i="2"/>
  <c r="S31" i="2"/>
  <c r="F121" i="1"/>
  <c r="F124" i="1" s="1"/>
  <c r="F174" i="1"/>
  <c r="F178" i="1" s="1"/>
  <c r="S34" i="2"/>
  <c r="G9" i="13"/>
  <c r="S30" i="2"/>
  <c r="I31" i="2"/>
  <c r="T9" i="2"/>
  <c r="S32" i="2"/>
  <c r="J152" i="1"/>
  <c r="K144" i="1"/>
  <c r="K152" i="1" s="1"/>
  <c r="J112" i="1"/>
  <c r="K110" i="1"/>
  <c r="K112" i="1" s="1"/>
  <c r="J157" i="1"/>
  <c r="K154" i="1"/>
  <c r="K157" i="1" s="1"/>
  <c r="I99" i="1"/>
  <c r="H108" i="1"/>
  <c r="S33" i="2"/>
  <c r="I81" i="1"/>
  <c r="J137" i="1"/>
  <c r="K126" i="1"/>
  <c r="K137" i="1" s="1"/>
  <c r="L7" i="2"/>
  <c r="M3" i="13" s="1"/>
  <c r="K15" i="1"/>
  <c r="K7" i="16" s="1"/>
  <c r="U7" i="2"/>
  <c r="K3" i="13"/>
  <c r="J68" i="2"/>
  <c r="J47" i="2"/>
  <c r="J54" i="2"/>
  <c r="J75" i="2"/>
  <c r="J14" i="2"/>
  <c r="J28" i="2"/>
  <c r="J83" i="2"/>
  <c r="T28" i="2"/>
  <c r="T47" i="2"/>
  <c r="T75" i="2"/>
  <c r="T54" i="2"/>
  <c r="T68" i="2"/>
  <c r="T83" i="2"/>
  <c r="T14" i="2"/>
  <c r="T49" i="2" l="1"/>
  <c r="H171" i="1"/>
  <c r="J33" i="2"/>
  <c r="K34" i="2" s="1"/>
  <c r="L35" i="2" s="1"/>
  <c r="M36" i="2" s="1"/>
  <c r="N37" i="2" s="1"/>
  <c r="O38" i="2" s="1"/>
  <c r="J49" i="2"/>
  <c r="H29" i="13"/>
  <c r="F29" i="13"/>
  <c r="D29" i="13"/>
  <c r="L31" i="14"/>
  <c r="L33" i="14" s="1"/>
  <c r="AB29" i="13"/>
  <c r="X29" i="13"/>
  <c r="T29" i="13"/>
  <c r="P29" i="13"/>
  <c r="L29" i="13"/>
  <c r="AC29" i="13"/>
  <c r="W29" i="13"/>
  <c r="R29" i="13"/>
  <c r="M29" i="13"/>
  <c r="Y29" i="13"/>
  <c r="AA29" i="13"/>
  <c r="V29" i="13"/>
  <c r="Q29" i="13"/>
  <c r="K29" i="13"/>
  <c r="AD29" i="13"/>
  <c r="N29" i="13"/>
  <c r="Z29" i="13"/>
  <c r="U29" i="13"/>
  <c r="O29" i="13"/>
  <c r="S29" i="13"/>
  <c r="AQ33" i="13"/>
  <c r="K32" i="13"/>
  <c r="C32" i="13"/>
  <c r="I32" i="13"/>
  <c r="M32" i="13"/>
  <c r="G32" i="13"/>
  <c r="E32" i="13"/>
  <c r="W55" i="14"/>
  <c r="V55" i="14"/>
  <c r="U55" i="14"/>
  <c r="X55" i="14"/>
  <c r="I31" i="14"/>
  <c r="I33" i="14" s="1"/>
  <c r="J32" i="2"/>
  <c r="I70" i="2"/>
  <c r="K7" i="15"/>
  <c r="B3" i="15" s="1"/>
  <c r="B3" i="16"/>
  <c r="K31" i="14"/>
  <c r="K33" i="14" s="1"/>
  <c r="J29" i="13"/>
  <c r="J31" i="14"/>
  <c r="J33" i="14" s="1"/>
  <c r="AI30" i="13"/>
  <c r="AL30" i="13"/>
  <c r="AT30" i="13"/>
  <c r="E180" i="1"/>
  <c r="E181" i="1"/>
  <c r="E182" i="1"/>
  <c r="F39" i="1"/>
  <c r="G42" i="2"/>
  <c r="R63" i="2"/>
  <c r="G123" i="1"/>
  <c r="S70" i="2"/>
  <c r="G40" i="1" s="1"/>
  <c r="H10" i="13"/>
  <c r="H42" i="2"/>
  <c r="S35" i="2"/>
  <c r="S42" i="2" s="1"/>
  <c r="T33" i="2"/>
  <c r="J31" i="2"/>
  <c r="T34" i="2"/>
  <c r="J81" i="1"/>
  <c r="J99" i="1"/>
  <c r="I108" i="1"/>
  <c r="N7" i="2"/>
  <c r="M194" i="1"/>
  <c r="L28" i="2"/>
  <c r="L68" i="2"/>
  <c r="L47" i="2"/>
  <c r="L54" i="2"/>
  <c r="L75" i="2"/>
  <c r="V7" i="2"/>
  <c r="L83" i="2"/>
  <c r="L14" i="2"/>
  <c r="U83" i="2"/>
  <c r="U47" i="2"/>
  <c r="U75" i="2"/>
  <c r="U28" i="2"/>
  <c r="U68" i="2"/>
  <c r="U14" i="2"/>
  <c r="U54" i="2"/>
  <c r="K33" i="2" l="1"/>
  <c r="L34" i="2" s="1"/>
  <c r="M35" i="2" s="1"/>
  <c r="N36" i="2" s="1"/>
  <c r="O37" i="2" s="1"/>
  <c r="K49" i="2"/>
  <c r="J17" i="13"/>
  <c r="J19" i="13" s="1"/>
  <c r="H30" i="13"/>
  <c r="D30" i="13"/>
  <c r="F30" i="13"/>
  <c r="J30" i="13"/>
  <c r="I39" i="14"/>
  <c r="I41" i="14" s="1"/>
  <c r="N30" i="13"/>
  <c r="AB30" i="13"/>
  <c r="X30" i="13"/>
  <c r="T30" i="13"/>
  <c r="P30" i="13"/>
  <c r="M30" i="13"/>
  <c r="AC30" i="13"/>
  <c r="W30" i="13"/>
  <c r="R30" i="13"/>
  <c r="Y30" i="13"/>
  <c r="AA30" i="13"/>
  <c r="V30" i="13"/>
  <c r="Q30" i="13"/>
  <c r="AD30" i="13"/>
  <c r="Z30" i="13"/>
  <c r="U30" i="13"/>
  <c r="O30" i="13"/>
  <c r="S30" i="13"/>
  <c r="AQ34" i="13"/>
  <c r="G33" i="13"/>
  <c r="O33" i="13"/>
  <c r="P33" i="13" s="1"/>
  <c r="M33" i="13"/>
  <c r="N33" i="13" s="1"/>
  <c r="E33" i="13"/>
  <c r="F33" i="13" s="1"/>
  <c r="K33" i="13"/>
  <c r="L33" i="13" s="1"/>
  <c r="C33" i="13"/>
  <c r="D33" i="13" s="1"/>
  <c r="I33" i="13"/>
  <c r="X63" i="14"/>
  <c r="V63" i="14"/>
  <c r="U63" i="14"/>
  <c r="W63" i="14"/>
  <c r="K32" i="2"/>
  <c r="J70" i="2"/>
  <c r="G48" i="1"/>
  <c r="G56" i="1"/>
  <c r="L39" i="14"/>
  <c r="L41" i="14" s="1"/>
  <c r="G24" i="1"/>
  <c r="L30" i="13"/>
  <c r="J39" i="14"/>
  <c r="J41" i="14" s="1"/>
  <c r="K30" i="13"/>
  <c r="K39" i="14"/>
  <c r="K41" i="14" s="1"/>
  <c r="AI31" i="13"/>
  <c r="AT31" i="13"/>
  <c r="AL31" i="13"/>
  <c r="H56" i="2"/>
  <c r="H60" i="2"/>
  <c r="H57" i="2"/>
  <c r="H59" i="2"/>
  <c r="H58" i="2"/>
  <c r="G57" i="2"/>
  <c r="S57" i="2" s="1"/>
  <c r="G58" i="2"/>
  <c r="S58" i="2" s="1"/>
  <c r="G56" i="2"/>
  <c r="S56" i="2" s="1"/>
  <c r="G60" i="2"/>
  <c r="S60" i="2" s="1"/>
  <c r="G59" i="2"/>
  <c r="S59" i="2" s="1"/>
  <c r="F75" i="1"/>
  <c r="F180" i="1" s="1"/>
  <c r="E183" i="1"/>
  <c r="G38" i="1"/>
  <c r="T31" i="2"/>
  <c r="S61" i="2"/>
  <c r="S62" i="2"/>
  <c r="K31" i="2"/>
  <c r="T32" i="2"/>
  <c r="G174" i="1"/>
  <c r="G178" i="1" s="1"/>
  <c r="G121" i="1"/>
  <c r="G124" i="1" s="1"/>
  <c r="I42" i="2"/>
  <c r="T36" i="2"/>
  <c r="I11" i="13"/>
  <c r="T30" i="2"/>
  <c r="K81" i="1"/>
  <c r="K99" i="1"/>
  <c r="K108" i="1" s="1"/>
  <c r="J108" i="1"/>
  <c r="T35" i="2"/>
  <c r="V14" i="2"/>
  <c r="V83" i="2"/>
  <c r="V47" i="2"/>
  <c r="V75" i="2"/>
  <c r="V28" i="2"/>
  <c r="V68" i="2"/>
  <c r="V54" i="2"/>
  <c r="N68" i="2"/>
  <c r="N14" i="2"/>
  <c r="N28" i="2"/>
  <c r="N83" i="2"/>
  <c r="N47" i="2"/>
  <c r="N54" i="2"/>
  <c r="N75" i="2"/>
  <c r="W7" i="2"/>
  <c r="U49" i="2" l="1"/>
  <c r="K17" i="13"/>
  <c r="K19" i="13" s="1"/>
  <c r="I171" i="1"/>
  <c r="L33" i="2"/>
  <c r="M34" i="2" s="1"/>
  <c r="N35" i="2" s="1"/>
  <c r="O36" i="2" s="1"/>
  <c r="L49" i="2"/>
  <c r="L47" i="14"/>
  <c r="L49" i="14" s="1"/>
  <c r="AB31" i="13"/>
  <c r="X31" i="13"/>
  <c r="T31" i="13"/>
  <c r="P31" i="13"/>
  <c r="AC31" i="13"/>
  <c r="W31" i="13"/>
  <c r="R31" i="13"/>
  <c r="Y31" i="13"/>
  <c r="AA31" i="13"/>
  <c r="V31" i="13"/>
  <c r="Q31" i="13"/>
  <c r="Z31" i="13"/>
  <c r="U31" i="13"/>
  <c r="O31" i="13"/>
  <c r="AD31" i="13"/>
  <c r="S31" i="13"/>
  <c r="AQ35" i="13"/>
  <c r="AQ36" i="13" s="1"/>
  <c r="K34" i="13"/>
  <c r="L34" i="13" s="1"/>
  <c r="C34" i="13"/>
  <c r="Q34" i="13"/>
  <c r="R34" i="13" s="1"/>
  <c r="I34" i="13"/>
  <c r="J34" i="13" s="1"/>
  <c r="M34" i="13"/>
  <c r="N34" i="13" s="1"/>
  <c r="O34" i="13"/>
  <c r="P34" i="13" s="1"/>
  <c r="G34" i="13"/>
  <c r="H34" i="13" s="1"/>
  <c r="E34" i="13"/>
  <c r="F34" i="13" s="1"/>
  <c r="W71" i="14"/>
  <c r="V71" i="14"/>
  <c r="U71" i="14"/>
  <c r="X71" i="14"/>
  <c r="J33" i="13"/>
  <c r="J31" i="13"/>
  <c r="F31" i="13"/>
  <c r="H31" i="13"/>
  <c r="D31" i="13"/>
  <c r="L31" i="13"/>
  <c r="H33" i="13"/>
  <c r="K47" i="14"/>
  <c r="K49" i="14" s="1"/>
  <c r="L32" i="2"/>
  <c r="M33" i="2" s="1"/>
  <c r="N34" i="2" s="1"/>
  <c r="O35" i="2" s="1"/>
  <c r="K70" i="2"/>
  <c r="M31" i="13"/>
  <c r="I47" i="14"/>
  <c r="I49" i="14" s="1"/>
  <c r="J47" i="14"/>
  <c r="J49" i="14" s="1"/>
  <c r="N31" i="13"/>
  <c r="AI32" i="13"/>
  <c r="AL32" i="13"/>
  <c r="AT32" i="13"/>
  <c r="I59" i="2"/>
  <c r="I56" i="2"/>
  <c r="I60" i="2"/>
  <c r="I58" i="2"/>
  <c r="I57" i="2"/>
  <c r="T70" i="2"/>
  <c r="H40" i="1" s="1"/>
  <c r="F182" i="1"/>
  <c r="F185" i="1"/>
  <c r="F186" i="1" s="1"/>
  <c r="F181" i="1"/>
  <c r="G39" i="1"/>
  <c r="S63" i="2"/>
  <c r="H121" i="1"/>
  <c r="U9" i="2"/>
  <c r="L31" i="2"/>
  <c r="U35" i="2"/>
  <c r="T37" i="2"/>
  <c r="T42" i="2" s="1"/>
  <c r="J42" i="2"/>
  <c r="J12" i="13"/>
  <c r="H123" i="1"/>
  <c r="U33" i="2"/>
  <c r="U36" i="2"/>
  <c r="W83" i="2"/>
  <c r="W28" i="2"/>
  <c r="W14" i="2"/>
  <c r="W75" i="2"/>
  <c r="W54" i="2"/>
  <c r="W68" i="2"/>
  <c r="W47" i="2"/>
  <c r="M36" i="13" l="1"/>
  <c r="N36" i="13" s="1"/>
  <c r="K36" i="13"/>
  <c r="L36" i="13" s="1"/>
  <c r="U87" i="14"/>
  <c r="U36" i="13"/>
  <c r="V36" i="13" s="1"/>
  <c r="O36" i="13"/>
  <c r="P36" i="13" s="1"/>
  <c r="E36" i="13"/>
  <c r="F36" i="13" s="1"/>
  <c r="I36" i="13"/>
  <c r="J36" i="13" s="1"/>
  <c r="V87" i="14"/>
  <c r="S36" i="13"/>
  <c r="T36" i="13" s="1"/>
  <c r="AQ37" i="13"/>
  <c r="AQ38" i="13" s="1"/>
  <c r="G36" i="13"/>
  <c r="H36" i="13" s="1"/>
  <c r="Q36" i="13"/>
  <c r="R36" i="13" s="1"/>
  <c r="C36" i="13"/>
  <c r="D36" i="13" s="1"/>
  <c r="W87" i="14"/>
  <c r="X87" i="14"/>
  <c r="H32" i="13"/>
  <c r="F32" i="13"/>
  <c r="L32" i="13"/>
  <c r="D32" i="13"/>
  <c r="N32" i="13"/>
  <c r="J32" i="13"/>
  <c r="D34" i="13"/>
  <c r="L55" i="14"/>
  <c r="L57" i="14" s="1"/>
  <c r="AB32" i="13"/>
  <c r="X32" i="13"/>
  <c r="T32" i="13"/>
  <c r="AA32" i="13"/>
  <c r="Q32" i="13"/>
  <c r="AC32" i="13"/>
  <c r="V32" i="13"/>
  <c r="R32" i="13"/>
  <c r="AD32" i="13"/>
  <c r="Z32" i="13"/>
  <c r="U32" i="13"/>
  <c r="W32" i="13"/>
  <c r="Y32" i="13"/>
  <c r="S32" i="13"/>
  <c r="S35" i="13"/>
  <c r="T35" i="13" s="1"/>
  <c r="K35" i="13"/>
  <c r="C35" i="13"/>
  <c r="D35" i="13" s="1"/>
  <c r="Q35" i="13"/>
  <c r="R35" i="13" s="1"/>
  <c r="I35" i="13"/>
  <c r="J35" i="13" s="1"/>
  <c r="M35" i="13"/>
  <c r="N35" i="13" s="1"/>
  <c r="G35" i="13"/>
  <c r="E35" i="13"/>
  <c r="O35" i="13"/>
  <c r="P35" i="13" s="1"/>
  <c r="W79" i="14"/>
  <c r="V79" i="14"/>
  <c r="U79" i="14"/>
  <c r="X79" i="14"/>
  <c r="M32" i="2"/>
  <c r="N33" i="2" s="1"/>
  <c r="O34" i="2" s="1"/>
  <c r="L70" i="2"/>
  <c r="H48" i="1"/>
  <c r="H56" i="1"/>
  <c r="J55" i="14"/>
  <c r="J57" i="14" s="1"/>
  <c r="H24" i="1"/>
  <c r="K55" i="14"/>
  <c r="K57" i="14" s="1"/>
  <c r="AI33" i="13"/>
  <c r="AT33" i="13"/>
  <c r="AL33" i="13"/>
  <c r="P32" i="13"/>
  <c r="O32" i="13"/>
  <c r="I55" i="14"/>
  <c r="I57" i="14" s="1"/>
  <c r="G75" i="1"/>
  <c r="G185" i="1" s="1"/>
  <c r="G186" i="1" s="1"/>
  <c r="F183" i="1"/>
  <c r="J58" i="2"/>
  <c r="J59" i="2"/>
  <c r="J57" i="2"/>
  <c r="J56" i="2"/>
  <c r="J60" i="2"/>
  <c r="H124" i="1"/>
  <c r="H39" i="1"/>
  <c r="T59" i="2"/>
  <c r="T61" i="2"/>
  <c r="T56" i="2"/>
  <c r="H174" i="1"/>
  <c r="H178" i="1" s="1"/>
  <c r="T60" i="2"/>
  <c r="T57" i="2"/>
  <c r="T62" i="2"/>
  <c r="T58" i="2"/>
  <c r="U38" i="2"/>
  <c r="K13" i="13"/>
  <c r="U30" i="2"/>
  <c r="U31" i="2"/>
  <c r="U34" i="2"/>
  <c r="M31" i="2"/>
  <c r="V9" i="2"/>
  <c r="U32" i="2"/>
  <c r="U37" i="2"/>
  <c r="E37" i="13" l="1"/>
  <c r="F37" i="13" s="1"/>
  <c r="W37" i="13"/>
  <c r="X37" i="13" s="1"/>
  <c r="O37" i="13"/>
  <c r="P37" i="13" s="1"/>
  <c r="X95" i="14"/>
  <c r="X97" i="14" s="1"/>
  <c r="X89" i="14" s="1"/>
  <c r="X81" i="14" s="1"/>
  <c r="X73" i="14" s="1"/>
  <c r="X65" i="14" s="1"/>
  <c r="X57" i="14" s="1"/>
  <c r="X49" i="14" s="1"/>
  <c r="X41" i="14" s="1"/>
  <c r="X33" i="14" s="1"/>
  <c r="X25" i="14" s="1"/>
  <c r="X17" i="14" s="1"/>
  <c r="X9" i="14" s="1"/>
  <c r="S37" i="13"/>
  <c r="T37" i="13" s="1"/>
  <c r="G37" i="13"/>
  <c r="H37" i="13" s="1"/>
  <c r="U95" i="14"/>
  <c r="U97" i="14" s="1"/>
  <c r="U89" i="14" s="1"/>
  <c r="U81" i="14" s="1"/>
  <c r="U73" i="14" s="1"/>
  <c r="U65" i="14" s="1"/>
  <c r="U57" i="14" s="1"/>
  <c r="U49" i="14" s="1"/>
  <c r="U41" i="14" s="1"/>
  <c r="U33" i="14" s="1"/>
  <c r="U25" i="14" s="1"/>
  <c r="U17" i="14" s="1"/>
  <c r="U9" i="14" s="1"/>
  <c r="U37" i="13"/>
  <c r="V37" i="13" s="1"/>
  <c r="K37" i="13"/>
  <c r="L37" i="13" s="1"/>
  <c r="Q37" i="13"/>
  <c r="R37" i="13" s="1"/>
  <c r="W95" i="14"/>
  <c r="W97" i="14" s="1"/>
  <c r="W89" i="14" s="1"/>
  <c r="W81" i="14" s="1"/>
  <c r="W73" i="14" s="1"/>
  <c r="W65" i="14" s="1"/>
  <c r="W57" i="14" s="1"/>
  <c r="W49" i="14" s="1"/>
  <c r="W41" i="14" s="1"/>
  <c r="W33" i="14" s="1"/>
  <c r="W25" i="14" s="1"/>
  <c r="W17" i="14" s="1"/>
  <c r="W9" i="14" s="1"/>
  <c r="M37" i="13"/>
  <c r="N37" i="13" s="1"/>
  <c r="C37" i="13"/>
  <c r="D37" i="13" s="1"/>
  <c r="I37" i="13"/>
  <c r="J37" i="13" s="1"/>
  <c r="V95" i="14"/>
  <c r="V97" i="14" s="1"/>
  <c r="V89" i="14" s="1"/>
  <c r="V81" i="14" s="1"/>
  <c r="V73" i="14" s="1"/>
  <c r="V65" i="14" s="1"/>
  <c r="V57" i="14" s="1"/>
  <c r="V49" i="14" s="1"/>
  <c r="V41" i="14" s="1"/>
  <c r="V33" i="14" s="1"/>
  <c r="V25" i="14" s="1"/>
  <c r="V17" i="14" s="1"/>
  <c r="V9" i="14" s="1"/>
  <c r="L35" i="13"/>
  <c r="H35" i="13"/>
  <c r="L63" i="14"/>
  <c r="L65" i="14" s="1"/>
  <c r="AB33" i="13"/>
  <c r="X33" i="13"/>
  <c r="T33" i="13"/>
  <c r="AA33" i="13"/>
  <c r="W33" i="13"/>
  <c r="S33" i="13"/>
  <c r="Y33" i="13"/>
  <c r="AD33" i="13"/>
  <c r="V33" i="13"/>
  <c r="Z33" i="13"/>
  <c r="AC33" i="13"/>
  <c r="U33" i="13"/>
  <c r="F35" i="13"/>
  <c r="I63" i="14"/>
  <c r="I65" i="14" s="1"/>
  <c r="N32" i="2"/>
  <c r="O33" i="2" s="1"/>
  <c r="M70" i="2"/>
  <c r="Q33" i="13"/>
  <c r="J63" i="14"/>
  <c r="J65" i="14" s="1"/>
  <c r="G180" i="1"/>
  <c r="K63" i="14"/>
  <c r="K65" i="14" s="1"/>
  <c r="R33" i="13"/>
  <c r="AI34" i="13"/>
  <c r="AT34" i="13"/>
  <c r="AL34" i="13"/>
  <c r="G181" i="1"/>
  <c r="G182" i="1"/>
  <c r="H38" i="1"/>
  <c r="K42" i="2"/>
  <c r="U70" i="2"/>
  <c r="I40" i="1" s="1"/>
  <c r="T63" i="2"/>
  <c r="I123" i="1"/>
  <c r="N31" i="2"/>
  <c r="V33" i="2"/>
  <c r="V35" i="2"/>
  <c r="L14" i="13"/>
  <c r="U39" i="2"/>
  <c r="U42" i="2" s="1"/>
  <c r="V37" i="2"/>
  <c r="V38" i="2"/>
  <c r="J123" i="1"/>
  <c r="C38" i="13" l="1"/>
  <c r="C42" i="13" s="1"/>
  <c r="K38" i="13"/>
  <c r="K44" i="13" s="1"/>
  <c r="M38" i="13"/>
  <c r="M42" i="13" s="1"/>
  <c r="Q38" i="13"/>
  <c r="Q43" i="13" s="1"/>
  <c r="G38" i="13"/>
  <c r="G44" i="13" s="1"/>
  <c r="E38" i="13"/>
  <c r="E44" i="13" s="1"/>
  <c r="O38" i="13"/>
  <c r="O44" i="13" s="1"/>
  <c r="I38" i="13"/>
  <c r="I42" i="13" s="1"/>
  <c r="S34" i="13"/>
  <c r="S38" i="13" s="1"/>
  <c r="V34" i="13"/>
  <c r="AB34" i="13"/>
  <c r="X34" i="13"/>
  <c r="U34" i="13"/>
  <c r="AA34" i="13"/>
  <c r="W34" i="13"/>
  <c r="Y34" i="13"/>
  <c r="AD34" i="13"/>
  <c r="AC34" i="13"/>
  <c r="Z34" i="13"/>
  <c r="O32" i="2"/>
  <c r="N70" i="2"/>
  <c r="I48" i="1"/>
  <c r="I56" i="1"/>
  <c r="G183" i="1"/>
  <c r="I24" i="1"/>
  <c r="J71" i="14"/>
  <c r="J73" i="14" s="1"/>
  <c r="K71" i="14"/>
  <c r="K73" i="14" s="1"/>
  <c r="I71" i="14"/>
  <c r="I73" i="14" s="1"/>
  <c r="T34" i="13"/>
  <c r="L71" i="14"/>
  <c r="L73" i="14" s="1"/>
  <c r="AI35" i="13"/>
  <c r="AT35" i="13"/>
  <c r="AL35" i="13"/>
  <c r="H75" i="1"/>
  <c r="H180" i="1" s="1"/>
  <c r="M49" i="2"/>
  <c r="V49" i="2" s="1"/>
  <c r="M15" i="13"/>
  <c r="I174" i="1"/>
  <c r="I178" i="1" s="1"/>
  <c r="K57" i="2"/>
  <c r="U57" i="2" s="1"/>
  <c r="K58" i="2"/>
  <c r="U58" i="2" s="1"/>
  <c r="K60" i="2"/>
  <c r="U60" i="2" s="1"/>
  <c r="K59" i="2"/>
  <c r="U59" i="2" s="1"/>
  <c r="K56" i="2"/>
  <c r="U56" i="2" s="1"/>
  <c r="I121" i="1"/>
  <c r="I124" i="1" s="1"/>
  <c r="I38" i="1"/>
  <c r="L42" i="2"/>
  <c r="J121" i="1" s="1"/>
  <c r="J124" i="1" s="1"/>
  <c r="U62" i="2"/>
  <c r="V40" i="2"/>
  <c r="N16" i="13"/>
  <c r="K123" i="1"/>
  <c r="O49" i="2"/>
  <c r="W39" i="2"/>
  <c r="V36" i="2"/>
  <c r="V31" i="2"/>
  <c r="V32" i="2"/>
  <c r="V30" i="2"/>
  <c r="J171" i="1"/>
  <c r="L17" i="13"/>
  <c r="L19" i="13" s="1"/>
  <c r="V34" i="2"/>
  <c r="O31" i="2"/>
  <c r="V39" i="2"/>
  <c r="U61" i="2"/>
  <c r="C43" i="13" l="1"/>
  <c r="C44" i="13"/>
  <c r="K43" i="13"/>
  <c r="K42" i="13"/>
  <c r="M43" i="13"/>
  <c r="M44" i="13"/>
  <c r="O42" i="13"/>
  <c r="Q42" i="13"/>
  <c r="G43" i="13"/>
  <c r="Q44" i="13"/>
  <c r="E43" i="13"/>
  <c r="G42" i="13"/>
  <c r="E42" i="13"/>
  <c r="I43" i="13"/>
  <c r="O43" i="13"/>
  <c r="I44" i="13"/>
  <c r="K79" i="14"/>
  <c r="K81" i="14" s="1"/>
  <c r="AB35" i="13"/>
  <c r="X35" i="13"/>
  <c r="AA35" i="13"/>
  <c r="W35" i="13"/>
  <c r="Y35" i="13"/>
  <c r="Z35" i="13"/>
  <c r="AD35" i="13"/>
  <c r="AC35" i="13"/>
  <c r="S42" i="13"/>
  <c r="O70" i="2"/>
  <c r="S44" i="13"/>
  <c r="S43" i="13"/>
  <c r="L79" i="14"/>
  <c r="L81" i="14" s="1"/>
  <c r="I79" i="14"/>
  <c r="I81" i="14" s="1"/>
  <c r="U35" i="13"/>
  <c r="J79" i="14"/>
  <c r="J81" i="14" s="1"/>
  <c r="V35" i="13"/>
  <c r="V39" i="13" s="1"/>
  <c r="H185" i="1"/>
  <c r="H186" i="1" s="1"/>
  <c r="AI36" i="13"/>
  <c r="J87" i="14" s="1"/>
  <c r="AL36" i="13"/>
  <c r="AT36" i="13"/>
  <c r="AI37" i="13"/>
  <c r="L95" i="14" s="1"/>
  <c r="AL37" i="13"/>
  <c r="AT37" i="13"/>
  <c r="H181" i="1"/>
  <c r="H182" i="1"/>
  <c r="K171" i="1"/>
  <c r="V70" i="2"/>
  <c r="J40" i="1" s="1"/>
  <c r="W9" i="2"/>
  <c r="L56" i="2"/>
  <c r="L60" i="2"/>
  <c r="L57" i="2"/>
  <c r="L59" i="2"/>
  <c r="L58" i="2"/>
  <c r="M42" i="2"/>
  <c r="K174" i="1" s="1"/>
  <c r="I39" i="1"/>
  <c r="V61" i="2"/>
  <c r="D40" i="1"/>
  <c r="J174" i="1"/>
  <c r="J178" i="1" s="1"/>
  <c r="V41" i="2"/>
  <c r="V42" i="2" s="1"/>
  <c r="N49" i="2"/>
  <c r="N42" i="2"/>
  <c r="U63" i="2"/>
  <c r="W41" i="2"/>
  <c r="W40" i="2"/>
  <c r="W30" i="2"/>
  <c r="W34" i="2"/>
  <c r="W33" i="2"/>
  <c r="W38" i="2"/>
  <c r="W37" i="2"/>
  <c r="W32" i="2"/>
  <c r="W36" i="2"/>
  <c r="W35" i="2"/>
  <c r="V62" i="2"/>
  <c r="W61" i="2"/>
  <c r="W62" i="2"/>
  <c r="M45" i="13" l="1"/>
  <c r="M46" i="13" s="1"/>
  <c r="C45" i="13"/>
  <c r="C46" i="13" s="1"/>
  <c r="O45" i="13"/>
  <c r="O46" i="13" s="1"/>
  <c r="K45" i="13"/>
  <c r="K46" i="13" s="1"/>
  <c r="Q45" i="13"/>
  <c r="Q46" i="13" s="1"/>
  <c r="G45" i="13"/>
  <c r="G46" i="13" s="1"/>
  <c r="E45" i="13"/>
  <c r="E46" i="13" s="1"/>
  <c r="I45" i="13"/>
  <c r="I46" i="13" s="1"/>
  <c r="W36" i="13"/>
  <c r="W38" i="13" s="1"/>
  <c r="L87" i="14"/>
  <c r="L89" i="14" s="1"/>
  <c r="L97" i="14" s="1"/>
  <c r="I87" i="14"/>
  <c r="I89" i="14" s="1"/>
  <c r="AB37" i="13"/>
  <c r="AA37" i="13"/>
  <c r="AD37" i="13"/>
  <c r="AC37" i="13"/>
  <c r="K87" i="14"/>
  <c r="K89" i="14" s="1"/>
  <c r="AB36" i="13"/>
  <c r="AA36" i="13"/>
  <c r="AC36" i="13"/>
  <c r="Z36" i="13"/>
  <c r="Y36" i="13"/>
  <c r="AD36" i="13"/>
  <c r="F38" i="13"/>
  <c r="S45" i="13"/>
  <c r="S46" i="13" s="1"/>
  <c r="J89" i="14"/>
  <c r="J48" i="1"/>
  <c r="J56" i="1"/>
  <c r="U38" i="13"/>
  <c r="U39" i="13"/>
  <c r="H183" i="1"/>
  <c r="J24" i="1"/>
  <c r="Y37" i="13"/>
  <c r="Z37" i="13"/>
  <c r="J95" i="14"/>
  <c r="I95" i="14"/>
  <c r="AI38" i="13"/>
  <c r="K95" i="14"/>
  <c r="X36" i="13"/>
  <c r="J38" i="13"/>
  <c r="N38" i="13"/>
  <c r="V38" i="13"/>
  <c r="R38" i="13"/>
  <c r="T38" i="13"/>
  <c r="P38" i="13"/>
  <c r="K178" i="1"/>
  <c r="K121" i="1"/>
  <c r="K124" i="1" s="1"/>
  <c r="I75" i="1"/>
  <c r="I181" i="1" s="1"/>
  <c r="M59" i="2"/>
  <c r="V59" i="2" s="1"/>
  <c r="M56" i="2"/>
  <c r="V56" i="2" s="1"/>
  <c r="M60" i="2"/>
  <c r="V60" i="2" s="1"/>
  <c r="M58" i="2"/>
  <c r="V58" i="2" s="1"/>
  <c r="M57" i="2"/>
  <c r="V57" i="2" s="1"/>
  <c r="N58" i="2"/>
  <c r="N59" i="2"/>
  <c r="N60" i="2"/>
  <c r="N57" i="2"/>
  <c r="N56" i="2"/>
  <c r="W49" i="2"/>
  <c r="N17" i="13"/>
  <c r="N19" i="13" s="1"/>
  <c r="W31" i="2"/>
  <c r="W42" i="2" s="1"/>
  <c r="W70" i="2"/>
  <c r="K40" i="1" s="1"/>
  <c r="O42" i="2"/>
  <c r="J38" i="1"/>
  <c r="J39" i="1"/>
  <c r="AC38" i="13" l="1"/>
  <c r="AC43" i="13" s="1"/>
  <c r="J97" i="14"/>
  <c r="AB38" i="13"/>
  <c r="AA38" i="13"/>
  <c r="AA43" i="13" s="1"/>
  <c r="Y38" i="13"/>
  <c r="Y43" i="13" s="1"/>
  <c r="H38" i="13"/>
  <c r="H45" i="13" s="1"/>
  <c r="D38" i="13"/>
  <c r="D44" i="13" s="1"/>
  <c r="L38" i="13"/>
  <c r="L42" i="13" s="1"/>
  <c r="X38" i="13"/>
  <c r="W44" i="13"/>
  <c r="T45" i="13"/>
  <c r="K97" i="14"/>
  <c r="W42" i="13"/>
  <c r="AD38" i="13"/>
  <c r="K48" i="1"/>
  <c r="K56" i="1"/>
  <c r="Z38" i="13"/>
  <c r="U43" i="13"/>
  <c r="V43" i="13" s="1"/>
  <c r="V50" i="13" s="1"/>
  <c r="U42" i="13"/>
  <c r="V42" i="13" s="1"/>
  <c r="V49" i="13" s="1"/>
  <c r="U44" i="13"/>
  <c r="V44" i="13" s="1"/>
  <c r="V51" i="13" s="1"/>
  <c r="K24" i="1"/>
  <c r="W43" i="13"/>
  <c r="F43" i="13"/>
  <c r="F50" i="13" s="1"/>
  <c r="F42" i="13"/>
  <c r="F45" i="13"/>
  <c r="F44" i="13"/>
  <c r="F51" i="13" s="1"/>
  <c r="R43" i="13"/>
  <c r="R50" i="13" s="1"/>
  <c r="R44" i="13"/>
  <c r="R51" i="13" s="1"/>
  <c r="R42" i="13"/>
  <c r="R49" i="13" s="1"/>
  <c r="R45" i="13"/>
  <c r="T43" i="13"/>
  <c r="T50" i="13" s="1"/>
  <c r="T42" i="13"/>
  <c r="T49" i="13" s="1"/>
  <c r="T44" i="13"/>
  <c r="T51" i="13" s="1"/>
  <c r="P44" i="13"/>
  <c r="P42" i="13"/>
  <c r="P43" i="13"/>
  <c r="P45" i="13"/>
  <c r="N42" i="13"/>
  <c r="N43" i="13"/>
  <c r="N50" i="13" s="1"/>
  <c r="N44" i="13"/>
  <c r="N51" i="13" s="1"/>
  <c r="N45" i="13"/>
  <c r="J44" i="13"/>
  <c r="J51" i="13" s="1"/>
  <c r="J42" i="13"/>
  <c r="J43" i="13"/>
  <c r="J50" i="13" s="1"/>
  <c r="J45" i="13"/>
  <c r="I97" i="14"/>
  <c r="V63" i="2"/>
  <c r="I180" i="1"/>
  <c r="I185" i="1"/>
  <c r="I186" i="1" s="1"/>
  <c r="I182" i="1"/>
  <c r="O57" i="2"/>
  <c r="W57" i="2" s="1"/>
  <c r="O58" i="2"/>
  <c r="W58" i="2" s="1"/>
  <c r="O56" i="2"/>
  <c r="W56" i="2" s="1"/>
  <c r="O60" i="2"/>
  <c r="W60" i="2" s="1"/>
  <c r="O59" i="2"/>
  <c r="W59" i="2" s="1"/>
  <c r="Y70" i="2"/>
  <c r="K39" i="1"/>
  <c r="K38" i="1"/>
  <c r="AA44" i="13" l="1"/>
  <c r="AB44" i="13" s="1"/>
  <c r="AB51" i="13" s="1"/>
  <c r="H44" i="13"/>
  <c r="H51" i="13" s="1"/>
  <c r="AB43" i="13"/>
  <c r="AB50" i="13" s="1"/>
  <c r="J75" i="1"/>
  <c r="Y42" i="13"/>
  <c r="Z42" i="13" s="1"/>
  <c r="Z49" i="13" s="1"/>
  <c r="H42" i="13"/>
  <c r="C16" i="9" s="1"/>
  <c r="D43" i="13"/>
  <c r="D50" i="13" s="1"/>
  <c r="AC39" i="13"/>
  <c r="D42" i="13"/>
  <c r="C15" i="9" s="1"/>
  <c r="L45" i="13"/>
  <c r="C31" i="7" s="1"/>
  <c r="E31" i="7" s="1"/>
  <c r="H43" i="13"/>
  <c r="H50" i="13" s="1"/>
  <c r="D45" i="13"/>
  <c r="C29" i="7" s="1"/>
  <c r="E29" i="7" s="1"/>
  <c r="X42" i="13"/>
  <c r="X49" i="13" s="1"/>
  <c r="X43" i="13"/>
  <c r="X50" i="13" s="1"/>
  <c r="X44" i="13"/>
  <c r="X51" i="13" s="1"/>
  <c r="L44" i="13"/>
  <c r="L51" i="13" s="1"/>
  <c r="L43" i="13"/>
  <c r="C7" i="9" s="1"/>
  <c r="AC44" i="13"/>
  <c r="AD44" i="13" s="1"/>
  <c r="AD51" i="13" s="1"/>
  <c r="Y44" i="13"/>
  <c r="Z44" i="13" s="1"/>
  <c r="Z51" i="13" s="1"/>
  <c r="AD43" i="13"/>
  <c r="AD50" i="13" s="1"/>
  <c r="AC42" i="13"/>
  <c r="AD42" i="13" s="1"/>
  <c r="AD49" i="13" s="1"/>
  <c r="AD39" i="13"/>
  <c r="AA42" i="13"/>
  <c r="AB42" i="13" s="1"/>
  <c r="AB49" i="13" s="1"/>
  <c r="Z43" i="13"/>
  <c r="Z50" i="13" s="1"/>
  <c r="U45" i="13"/>
  <c r="W45" i="13"/>
  <c r="X45" i="13" s="1"/>
  <c r="C9" i="9"/>
  <c r="D9" i="9" s="1"/>
  <c r="E9" i="9" s="1"/>
  <c r="F9" i="9" s="1"/>
  <c r="C19" i="9"/>
  <c r="D19" i="9" s="1"/>
  <c r="E19" i="9" s="1"/>
  <c r="F19" i="9" s="1"/>
  <c r="T46" i="13"/>
  <c r="R52" i="13"/>
  <c r="C29" i="9"/>
  <c r="G29" i="9" s="1"/>
  <c r="R46" i="13"/>
  <c r="P51" i="13"/>
  <c r="C28" i="9"/>
  <c r="C32" i="7"/>
  <c r="E32" i="7" s="1"/>
  <c r="L49" i="13"/>
  <c r="C17" i="9"/>
  <c r="D51" i="13"/>
  <c r="C25" i="9"/>
  <c r="J49" i="13"/>
  <c r="J52" i="13" s="1"/>
  <c r="J46" i="13"/>
  <c r="P50" i="13"/>
  <c r="C8" i="9"/>
  <c r="T52" i="13"/>
  <c r="F49" i="13"/>
  <c r="F52" i="13" s="1"/>
  <c r="F46" i="13"/>
  <c r="C30" i="7"/>
  <c r="E30" i="7" s="1"/>
  <c r="N49" i="13"/>
  <c r="N52" i="13" s="1"/>
  <c r="N46" i="13"/>
  <c r="P49" i="13"/>
  <c r="C18" i="9"/>
  <c r="P46" i="13"/>
  <c r="I183" i="1"/>
  <c r="W63" i="2"/>
  <c r="V52" i="13"/>
  <c r="C26" i="9" l="1"/>
  <c r="G26" i="9" s="1"/>
  <c r="AB52" i="13"/>
  <c r="D49" i="13"/>
  <c r="D52" i="13" s="1"/>
  <c r="J185" i="1"/>
  <c r="J186" i="1" s="1"/>
  <c r="J182" i="1"/>
  <c r="J181" i="1"/>
  <c r="J180" i="1"/>
  <c r="K75" i="1"/>
  <c r="C5" i="9"/>
  <c r="D5" i="9" s="1"/>
  <c r="H46" i="13"/>
  <c r="H49" i="13"/>
  <c r="H52" i="13" s="1"/>
  <c r="C6" i="9"/>
  <c r="G6" i="9" s="1"/>
  <c r="Y45" i="13"/>
  <c r="Z45" i="13" s="1"/>
  <c r="Z46" i="13" s="1"/>
  <c r="D46" i="13"/>
  <c r="X46" i="13"/>
  <c r="X52" i="13"/>
  <c r="C27" i="9"/>
  <c r="D27" i="9" s="1"/>
  <c r="L46" i="13"/>
  <c r="L50" i="13"/>
  <c r="L52" i="13" s="1"/>
  <c r="C31" i="9"/>
  <c r="D31" i="9" s="1"/>
  <c r="E31" i="9" s="1"/>
  <c r="F31" i="9" s="1"/>
  <c r="AD52" i="13"/>
  <c r="G19" i="9"/>
  <c r="C20" i="9"/>
  <c r="D20" i="9" s="1"/>
  <c r="J86" i="1" s="1"/>
  <c r="AC45" i="13"/>
  <c r="AD45" i="13" s="1"/>
  <c r="AD46" i="13" s="1"/>
  <c r="C11" i="9"/>
  <c r="D11" i="9" s="1"/>
  <c r="E11" i="9" s="1"/>
  <c r="F11" i="9" s="1"/>
  <c r="AA45" i="13"/>
  <c r="AB45" i="13" s="1"/>
  <c r="AB46" i="13" s="1"/>
  <c r="C21" i="9"/>
  <c r="G21" i="9" s="1"/>
  <c r="Z52" i="13"/>
  <c r="C10" i="9"/>
  <c r="D10" i="9" s="1"/>
  <c r="W46" i="13"/>
  <c r="C30" i="9"/>
  <c r="G30" i="9" s="1"/>
  <c r="D29" i="9"/>
  <c r="I87" i="1" s="1"/>
  <c r="F89" i="1"/>
  <c r="F96" i="1"/>
  <c r="F97" i="1" s="1"/>
  <c r="E89" i="1"/>
  <c r="E96" i="1"/>
  <c r="E97" i="1" s="1"/>
  <c r="H89" i="1"/>
  <c r="H96" i="1"/>
  <c r="H97" i="1" s="1"/>
  <c r="G89" i="1"/>
  <c r="G96" i="1"/>
  <c r="G97" i="1" s="1"/>
  <c r="V45" i="13"/>
  <c r="U46" i="13"/>
  <c r="G9" i="9"/>
  <c r="I86" i="1"/>
  <c r="D15" i="9"/>
  <c r="G15" i="9"/>
  <c r="D17" i="9"/>
  <c r="G17" i="9"/>
  <c r="D16" i="9"/>
  <c r="G16" i="9"/>
  <c r="G25" i="9"/>
  <c r="D25" i="9"/>
  <c r="G18" i="9"/>
  <c r="D18" i="9"/>
  <c r="D7" i="9"/>
  <c r="G7" i="9"/>
  <c r="G28" i="9"/>
  <c r="D28" i="9"/>
  <c r="P52" i="13"/>
  <c r="G8" i="9"/>
  <c r="D8" i="9"/>
  <c r="I85" i="1"/>
  <c r="D26" i="9" l="1"/>
  <c r="E26" i="9" s="1"/>
  <c r="F26" i="9" s="1"/>
  <c r="D6" i="9"/>
  <c r="F85" i="1" s="1"/>
  <c r="G5" i="9"/>
  <c r="J183" i="1"/>
  <c r="K180" i="1"/>
  <c r="M180" i="1" s="1"/>
  <c r="K182" i="1"/>
  <c r="M182" i="1" s="1"/>
  <c r="K181" i="1"/>
  <c r="M181" i="1" s="1"/>
  <c r="K185" i="1"/>
  <c r="K186" i="1" s="1"/>
  <c r="M186" i="1" s="1"/>
  <c r="M75" i="1"/>
  <c r="Y46" i="13"/>
  <c r="C34" i="7"/>
  <c r="E34" i="7" s="1"/>
  <c r="J89" i="1" s="1"/>
  <c r="G31" i="9"/>
  <c r="G20" i="9"/>
  <c r="G27" i="9"/>
  <c r="K85" i="1"/>
  <c r="E20" i="9"/>
  <c r="F20" i="9" s="1"/>
  <c r="G11" i="9"/>
  <c r="AC46" i="13"/>
  <c r="D30" i="9"/>
  <c r="E30" i="9" s="1"/>
  <c r="F30" i="9" s="1"/>
  <c r="C35" i="7"/>
  <c r="E35" i="7" s="1"/>
  <c r="K89" i="1" s="1"/>
  <c r="G10" i="9"/>
  <c r="AA46" i="13"/>
  <c r="D21" i="9"/>
  <c r="E21" i="9" s="1"/>
  <c r="F21" i="9" s="1"/>
  <c r="E29" i="9"/>
  <c r="F29" i="9" s="1"/>
  <c r="K87" i="1"/>
  <c r="J87" i="1"/>
  <c r="C33" i="7"/>
  <c r="E33" i="7" s="1"/>
  <c r="I89" i="1" s="1"/>
  <c r="I90" i="1" s="1"/>
  <c r="I92" i="1" s="1"/>
  <c r="V46" i="13"/>
  <c r="H85" i="1"/>
  <c r="E8" i="9"/>
  <c r="F8" i="9" s="1"/>
  <c r="E18" i="9"/>
  <c r="F18" i="9" s="1"/>
  <c r="H86" i="1"/>
  <c r="E16" i="9"/>
  <c r="F16" i="9" s="1"/>
  <c r="F86" i="1"/>
  <c r="G86" i="1"/>
  <c r="E17" i="9"/>
  <c r="F17" i="9" s="1"/>
  <c r="E5" i="9"/>
  <c r="F5" i="9" s="1"/>
  <c r="E85" i="1"/>
  <c r="E25" i="9"/>
  <c r="F25" i="9" s="1"/>
  <c r="E87" i="1"/>
  <c r="H87" i="1"/>
  <c r="E28" i="9"/>
  <c r="F28" i="9" s="1"/>
  <c r="G85" i="1"/>
  <c r="E7" i="9"/>
  <c r="F7" i="9" s="1"/>
  <c r="E27" i="9"/>
  <c r="F27" i="9" s="1"/>
  <c r="G87" i="1"/>
  <c r="E86" i="1"/>
  <c r="E15" i="9"/>
  <c r="F15" i="9" s="1"/>
  <c r="J85" i="1"/>
  <c r="E10" i="9"/>
  <c r="F10" i="9" s="1"/>
  <c r="F87" i="1" l="1"/>
  <c r="F90" i="1" s="1"/>
  <c r="F92" i="1" s="1"/>
  <c r="E6" i="9"/>
  <c r="F6" i="9" s="1"/>
  <c r="K183" i="1"/>
  <c r="J90" i="1"/>
  <c r="J92" i="1" s="1"/>
  <c r="K86" i="1"/>
  <c r="K90" i="1" s="1"/>
  <c r="K92" i="1" s="1"/>
  <c r="E36" i="7"/>
  <c r="C36" i="7"/>
  <c r="J96" i="1"/>
  <c r="J97" i="1" s="1"/>
  <c r="K96" i="1"/>
  <c r="K97" i="1" s="1"/>
  <c r="I96" i="1"/>
  <c r="I97" i="1" s="1"/>
  <c r="I188" i="1" s="1"/>
  <c r="H90" i="1"/>
  <c r="H92" i="1" s="1"/>
  <c r="G90" i="1"/>
  <c r="G92" i="1" s="1"/>
  <c r="E90" i="1"/>
  <c r="E92" i="1" s="1"/>
  <c r="F188" i="1" l="1"/>
  <c r="F190" i="1" s="1"/>
  <c r="J188" i="1"/>
  <c r="J190" i="1" s="1"/>
  <c r="I190" i="1"/>
  <c r="E188" i="1"/>
  <c r="E190" i="1" s="1"/>
  <c r="G188" i="1"/>
  <c r="G190" i="1" s="1"/>
  <c r="H188" i="1"/>
  <c r="H190" i="1" s="1"/>
  <c r="K188" i="1"/>
  <c r="K190" i="1" s="1"/>
  <c r="M190" i="1" l="1"/>
  <c r="O194" i="1" s="1"/>
  <c r="M188" i="1"/>
  <c r="M179" i="1" s="1"/>
  <c r="O1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Nombre del centro de costos al que corresponde la proyección</t>
        </r>
      </text>
    </comment>
    <comment ref="J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Nombre de la persona responsable del centro de costos</t>
        </r>
      </text>
    </comment>
    <comment ref="K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Código de l centro de costos si ya existe</t>
        </r>
      </text>
    </comment>
    <comment ref="B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Fecha en que inica la proyección acorde con los calendarios académico y administrativo de la universidad</t>
        </r>
      </text>
    </comment>
    <comment ref="K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Fecha en que termina la proyección acorde con los calendarios académico y administrativo de la universidad</t>
        </r>
      </text>
    </comment>
    <comment ref="E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Escriba el año inicial de la proyección</t>
        </r>
      </text>
    </comment>
    <comment ref="F7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G78" authorId="0" shapeId="0" xr:uid="{AB830180-F2A8-4096-A636-1D682BF72A85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H78" authorId="0" shapeId="0" xr:uid="{3B397894-7479-4A47-983D-3461F6C9E37D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I78" authorId="0" shapeId="0" xr:uid="{A696EACD-D863-49D5-B0F1-E2957E58483B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J78" authorId="0" shapeId="0" xr:uid="{ECDA6D96-2611-47F6-BC65-10EA199AB445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K78" authorId="0" shapeId="0" xr:uid="{369A4170-5E24-486D-850D-2EFDB62EBB91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Cifras modificables solo por la Dirección Financiera</t>
        </r>
      </text>
    </comment>
    <comment ref="D18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Valide el porcentaje acorde con las necesidades del programa</t>
        </r>
      </text>
    </comment>
    <comment ref="D18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Valide el porcentaje acorde con las necesidades del programa</t>
        </r>
      </text>
    </comment>
    <comment ref="D18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Valide el porcentaje acorde con las necesidades del programa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Andres Benavidez Lopez</author>
    <author>Ricardo Astudillo Villegas</author>
    <author>giova515@hotmail.com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ANTES DE DETALLAR LOS INGRESOS DEBE DE DESPLEGAR Y SELECCIONAR LA MODALIDAD DEL PROGRAMA</t>
        </r>
      </text>
    </comment>
    <comment ref="R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Casillo modificable solo por la Dirección Financiera</t>
        </r>
      </text>
    </comment>
    <comment ref="J5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Seleccione el perido de admisión de los estudiantes al programa</t>
        </r>
      </text>
    </comment>
    <comment ref="Y7" authorId="2" shapeId="0" xr:uid="{00000000-0006-0000-0100-00000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Numero de aspirantes inscritos que no se matriculan, debe ser la diferencia entre los inscritos (celda B9) y el cupo autorizado o solicitado de matrícula por periodo</t>
        </r>
      </text>
    </comment>
    <comment ref="B9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aspirantes a inscribir</t>
        </r>
      </text>
    </comment>
    <comment ref="P9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16" authorId="2" shapeId="0" xr:uid="{00000000-0006-0000-0100-00000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16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16" authorId="2" shapeId="0" xr:uid="{00000000-0006-0000-0100-00000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16" authorId="2" shapeId="0" xr:uid="{00000000-0006-0000-0100-00000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16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16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16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16" authorId="2" shapeId="0" xr:uid="{00000000-0006-0000-0100-00000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16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16" authorId="2" shapeId="0" xr:uid="{00000000-0006-0000-0100-00001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16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16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16" authorId="2" shapeId="0" xr:uid="{00000000-0006-0000-0100-00001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16" authorId="2" shapeId="0" xr:uid="{00000000-0006-0000-0100-00001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16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17" authorId="2" shapeId="0" xr:uid="{00000000-0006-0000-0100-00001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17" authorId="2" shapeId="0" xr:uid="{00000000-0006-0000-0100-00001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17" authorId="2" shapeId="0" xr:uid="{00000000-0006-0000-0100-00001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17" authorId="2" shapeId="0" xr:uid="{00000000-0006-0000-0100-00001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17" authorId="2" shapeId="0" xr:uid="{00000000-0006-0000-0100-00001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17" authorId="2" shapeId="0" xr:uid="{00000000-0006-0000-0100-00001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17" authorId="2" shapeId="0" xr:uid="{00000000-0006-0000-0100-00001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17" authorId="2" shapeId="0" xr:uid="{00000000-0006-0000-0100-00001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17" authorId="2" shapeId="0" xr:uid="{00000000-0006-0000-0100-00001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17" authorId="2" shapeId="0" xr:uid="{00000000-0006-0000-0100-00001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17" authorId="2" shapeId="0" xr:uid="{00000000-0006-0000-0100-00002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17" authorId="2" shapeId="0" xr:uid="{00000000-0006-0000-0100-00002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17" authorId="2" shapeId="0" xr:uid="{00000000-0006-0000-0100-00002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17" authorId="2" shapeId="0" xr:uid="{00000000-0006-0000-0100-00002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17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18" authorId="2" shapeId="0" xr:uid="{00000000-0006-0000-0100-00002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18" authorId="2" shapeId="0" xr:uid="{00000000-0006-0000-0100-00002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18" authorId="2" shapeId="0" xr:uid="{00000000-0006-0000-0100-00002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18" authorId="2" shapeId="0" xr:uid="{00000000-0006-0000-0100-00002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18" authorId="2" shapeId="0" xr:uid="{00000000-0006-0000-0100-00002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18" authorId="2" shapeId="0" xr:uid="{00000000-0006-0000-0100-00002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18" authorId="2" shapeId="0" xr:uid="{00000000-0006-0000-0100-00002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18" authorId="2" shapeId="0" xr:uid="{00000000-0006-0000-0100-00002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18" authorId="2" shapeId="0" xr:uid="{00000000-0006-0000-0100-00002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18" authorId="2" shapeId="0" xr:uid="{00000000-0006-0000-0100-00002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18" authorId="2" shapeId="0" xr:uid="{00000000-0006-0000-0100-00002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18" authorId="2" shapeId="0" xr:uid="{00000000-0006-0000-0100-00003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18" authorId="2" shapeId="0" xr:uid="{00000000-0006-0000-0100-00003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18" authorId="2" shapeId="0" xr:uid="{00000000-0006-0000-0100-00003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18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19" authorId="2" shapeId="0" xr:uid="{00000000-0006-0000-0100-00003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19" authorId="2" shapeId="0" xr:uid="{00000000-0006-0000-0100-00003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19" authorId="2" shapeId="0" xr:uid="{00000000-0006-0000-0100-00003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19" authorId="2" shapeId="0" xr:uid="{00000000-0006-0000-0100-00003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19" authorId="2" shapeId="0" xr:uid="{00000000-0006-0000-0100-00003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19" authorId="2" shapeId="0" xr:uid="{00000000-0006-0000-0100-00003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19" authorId="2" shapeId="0" xr:uid="{00000000-0006-0000-0100-00003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19" authorId="2" shapeId="0" xr:uid="{00000000-0006-0000-0100-00003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19" authorId="2" shapeId="0" xr:uid="{00000000-0006-0000-0100-00003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19" authorId="2" shapeId="0" xr:uid="{00000000-0006-0000-0100-00003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19" authorId="2" shapeId="0" xr:uid="{00000000-0006-0000-0100-00003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19" authorId="2" shapeId="0" xr:uid="{00000000-0006-0000-0100-00003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19" authorId="2" shapeId="0" xr:uid="{00000000-0006-0000-0100-00004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19" authorId="2" shapeId="0" xr:uid="{00000000-0006-0000-0100-00004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19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20" authorId="2" shapeId="0" xr:uid="{00000000-0006-0000-0100-00004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20" authorId="2" shapeId="0" xr:uid="{00000000-0006-0000-0100-00004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20" authorId="2" shapeId="0" xr:uid="{00000000-0006-0000-0100-00004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20" authorId="2" shapeId="0" xr:uid="{00000000-0006-0000-0100-00004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20" authorId="2" shapeId="0" xr:uid="{00000000-0006-0000-0100-00004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20" authorId="2" shapeId="0" xr:uid="{00000000-0006-0000-0100-00004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20" authorId="2" shapeId="0" xr:uid="{00000000-0006-0000-0100-00004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20" authorId="2" shapeId="0" xr:uid="{00000000-0006-0000-0100-00004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20" authorId="2" shapeId="0" xr:uid="{00000000-0006-0000-0100-00004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20" authorId="2" shapeId="0" xr:uid="{00000000-0006-0000-0100-00004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20" authorId="2" shapeId="0" xr:uid="{00000000-0006-0000-0100-00004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20" authorId="2" shapeId="0" xr:uid="{00000000-0006-0000-0100-00004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20" authorId="2" shapeId="0" xr:uid="{00000000-0006-0000-0100-00004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20" authorId="2" shapeId="0" xr:uid="{00000000-0006-0000-0100-00005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20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21" authorId="2" shapeId="0" xr:uid="{00000000-0006-0000-0100-00005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21" authorId="2" shapeId="0" xr:uid="{00000000-0006-0000-0100-00005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21" authorId="2" shapeId="0" xr:uid="{00000000-0006-0000-0100-00005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21" authorId="2" shapeId="0" xr:uid="{00000000-0006-0000-0100-00005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21" authorId="2" shapeId="0" xr:uid="{00000000-0006-0000-0100-00005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21" authorId="2" shapeId="0" xr:uid="{00000000-0006-0000-0100-00005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21" authorId="2" shapeId="0" xr:uid="{00000000-0006-0000-0100-00005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21" authorId="2" shapeId="0" xr:uid="{00000000-0006-0000-0100-00005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21" authorId="2" shapeId="0" xr:uid="{00000000-0006-0000-0100-00005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21" authorId="2" shapeId="0" xr:uid="{00000000-0006-0000-0100-00005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21" authorId="2" shapeId="0" xr:uid="{00000000-0006-0000-0100-00005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21" authorId="2" shapeId="0" xr:uid="{00000000-0006-0000-0100-00005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21" authorId="2" shapeId="0" xr:uid="{00000000-0006-0000-0100-00005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21" authorId="2" shapeId="0" xr:uid="{00000000-0006-0000-0100-00005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21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22" authorId="2" shapeId="0" xr:uid="{00000000-0006-0000-0100-00006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22" authorId="2" shapeId="0" xr:uid="{00000000-0006-0000-0100-00006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22" authorId="2" shapeId="0" xr:uid="{00000000-0006-0000-0100-00006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22" authorId="2" shapeId="0" xr:uid="{00000000-0006-0000-0100-00006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22" authorId="2" shapeId="0" xr:uid="{00000000-0006-0000-0100-00006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22" authorId="2" shapeId="0" xr:uid="{00000000-0006-0000-0100-00006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22" authorId="2" shapeId="0" xr:uid="{00000000-0006-0000-0100-00006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22" authorId="2" shapeId="0" xr:uid="{00000000-0006-0000-0100-00006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22" authorId="2" shapeId="0" xr:uid="{00000000-0006-0000-0100-00006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22" authorId="2" shapeId="0" xr:uid="{00000000-0006-0000-0100-00006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22" authorId="2" shapeId="0" xr:uid="{00000000-0006-0000-0100-00006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22" authorId="2" shapeId="0" xr:uid="{00000000-0006-0000-0100-00006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22" authorId="2" shapeId="0" xr:uid="{00000000-0006-0000-0100-00006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22" authorId="2" shapeId="0" xr:uid="{00000000-0006-0000-0100-00006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22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J25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Seleccione el número de semestres que tiene o tendrá el plan de estudios del programa</t>
        </r>
      </text>
    </comment>
    <comment ref="Y29" authorId="2" shapeId="0" xr:uid="{00000000-0006-0000-0100-00007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estudiantes que semestre a semestre abandonan los estudios, calcular teniendo en cuenta estudio de desercín de SPADIES</t>
        </r>
      </text>
    </comment>
    <comment ref="AA29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SI SU PROGRAMA ES DE RENOVACIÓN</t>
        </r>
        <r>
          <rPr>
            <sz val="9"/>
            <color indexed="81"/>
            <rFont val="Tahoma"/>
            <family val="2"/>
          </rPr>
          <t xml:space="preserve">
Indique el múmero de estudiantes actuamente matriculados en cada nivel semestral</t>
        </r>
      </text>
    </comment>
    <comment ref="P30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de la matricula en primer semestre según derechos pecuniarios, o estimado si es programa nuevo</t>
        </r>
      </text>
    </comment>
    <comment ref="P49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Y49" authorId="2" shapeId="0" xr:uid="{00000000-0006-0000-0100-00007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estudiantes que habiendo culminado el ciclo no completan requisitos para grado</t>
        </r>
      </text>
    </comment>
    <comment ref="Y54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Validad este comportamiento con la estadística de su programa</t>
        </r>
      </text>
    </comment>
    <comment ref="P56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57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58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59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60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61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P62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77" authorId="2" shapeId="0" xr:uid="{00000000-0006-0000-0100-00007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77" authorId="2" shapeId="0" xr:uid="{00000000-0006-0000-0100-00007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77" authorId="2" shapeId="0" xr:uid="{00000000-0006-0000-0100-00008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77" authorId="2" shapeId="0" xr:uid="{00000000-0006-0000-0100-00008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77" authorId="2" shapeId="0" xr:uid="{00000000-0006-0000-0100-00008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77" authorId="2" shapeId="0" xr:uid="{00000000-0006-0000-0100-00008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77" authorId="2" shapeId="0" xr:uid="{00000000-0006-0000-0100-00008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77" authorId="2" shapeId="0" xr:uid="{00000000-0006-0000-0100-00008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77" authorId="2" shapeId="0" xr:uid="{00000000-0006-0000-0100-00008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77" authorId="2" shapeId="0" xr:uid="{00000000-0006-0000-0100-00008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77" authorId="2" shapeId="0" xr:uid="{00000000-0006-0000-0100-00008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77" authorId="2" shapeId="0" xr:uid="{00000000-0006-0000-0100-00008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77" authorId="2" shapeId="0" xr:uid="{00000000-0006-0000-0100-00008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77" authorId="2" shapeId="0" xr:uid="{00000000-0006-0000-0100-00008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77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78" authorId="2" shapeId="0" xr:uid="{00000000-0006-0000-0100-00008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78" authorId="2" shapeId="0" xr:uid="{00000000-0006-0000-0100-00008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78" authorId="2" shapeId="0" xr:uid="{00000000-0006-0000-0100-00008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78" authorId="2" shapeId="0" xr:uid="{00000000-0006-0000-0100-00009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78" authorId="2" shapeId="0" xr:uid="{00000000-0006-0000-0100-00009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78" authorId="2" shapeId="0" xr:uid="{00000000-0006-0000-0100-00009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78" authorId="2" shapeId="0" xr:uid="{00000000-0006-0000-0100-00009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78" authorId="2" shapeId="0" xr:uid="{00000000-0006-0000-0100-00009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78" authorId="2" shapeId="0" xr:uid="{00000000-0006-0000-0100-00009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78" authorId="2" shapeId="0" xr:uid="{00000000-0006-0000-0100-00009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78" authorId="2" shapeId="0" xr:uid="{00000000-0006-0000-0100-00009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78" authorId="2" shapeId="0" xr:uid="{00000000-0006-0000-0100-00009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78" authorId="2" shapeId="0" xr:uid="{00000000-0006-0000-0100-00009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78" authorId="2" shapeId="0" xr:uid="{00000000-0006-0000-0100-00009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78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5" authorId="2" shapeId="0" xr:uid="{00000000-0006-0000-0100-00009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5" authorId="2" shapeId="0" xr:uid="{00000000-0006-0000-0100-00009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5" authorId="2" shapeId="0" xr:uid="{00000000-0006-0000-0100-00009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5" authorId="2" shapeId="0" xr:uid="{00000000-0006-0000-0100-00009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5" authorId="2" shapeId="0" xr:uid="{00000000-0006-0000-0100-0000A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5" authorId="2" shapeId="0" xr:uid="{00000000-0006-0000-0100-0000A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5" authorId="2" shapeId="0" xr:uid="{00000000-0006-0000-0100-0000A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5" authorId="2" shapeId="0" xr:uid="{00000000-0006-0000-0100-0000A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5" authorId="2" shapeId="0" xr:uid="{00000000-0006-0000-0100-0000A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5" authorId="2" shapeId="0" xr:uid="{00000000-0006-0000-0100-0000A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5" authorId="2" shapeId="0" xr:uid="{00000000-0006-0000-0100-0000A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5" authorId="2" shapeId="0" xr:uid="{00000000-0006-0000-0100-0000A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5" authorId="2" shapeId="0" xr:uid="{00000000-0006-0000-0100-0000A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5" authorId="2" shapeId="0" xr:uid="{00000000-0006-0000-0100-0000A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5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6" authorId="2" shapeId="0" xr:uid="{00000000-0006-0000-0100-0000A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6" authorId="2" shapeId="0" xr:uid="{00000000-0006-0000-0100-0000A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6" authorId="2" shapeId="0" xr:uid="{00000000-0006-0000-0100-0000A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6" authorId="2" shapeId="0" xr:uid="{00000000-0006-0000-0100-0000A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6" authorId="2" shapeId="0" xr:uid="{00000000-0006-0000-0100-0000A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6" authorId="2" shapeId="0" xr:uid="{00000000-0006-0000-0100-0000B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6" authorId="2" shapeId="0" xr:uid="{00000000-0006-0000-0100-0000B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6" authorId="2" shapeId="0" xr:uid="{00000000-0006-0000-0100-0000B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6" authorId="2" shapeId="0" xr:uid="{00000000-0006-0000-0100-0000B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6" authorId="2" shapeId="0" xr:uid="{00000000-0006-0000-0100-0000B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6" authorId="2" shapeId="0" xr:uid="{00000000-0006-0000-0100-0000B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6" authorId="2" shapeId="0" xr:uid="{00000000-0006-0000-0100-0000B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6" authorId="2" shapeId="0" xr:uid="{00000000-0006-0000-0100-0000B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6" authorId="2" shapeId="0" xr:uid="{00000000-0006-0000-0100-0000B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6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7" authorId="2" shapeId="0" xr:uid="{00000000-0006-0000-0100-0000B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7" authorId="2" shapeId="0" xr:uid="{00000000-0006-0000-0100-0000B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7" authorId="2" shapeId="0" xr:uid="{00000000-0006-0000-0100-0000B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7" authorId="2" shapeId="0" xr:uid="{00000000-0006-0000-0100-0000B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7" authorId="2" shapeId="0" xr:uid="{00000000-0006-0000-0100-0000B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7" authorId="2" shapeId="0" xr:uid="{00000000-0006-0000-0100-0000B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7" authorId="2" shapeId="0" xr:uid="{00000000-0006-0000-0100-0000C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7" authorId="2" shapeId="0" xr:uid="{00000000-0006-0000-0100-0000C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7" authorId="2" shapeId="0" xr:uid="{00000000-0006-0000-0100-0000C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7" authorId="2" shapeId="0" xr:uid="{00000000-0006-0000-0100-0000C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7" authorId="2" shapeId="0" xr:uid="{00000000-0006-0000-0100-0000C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7" authorId="2" shapeId="0" xr:uid="{00000000-0006-0000-0100-0000C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7" authorId="2" shapeId="0" xr:uid="{00000000-0006-0000-0100-0000C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7" authorId="2" shapeId="0" xr:uid="{00000000-0006-0000-0100-0000C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7" authorId="1" shapeId="0" xr:uid="{00000000-0006-0000-0100-0000C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8" authorId="2" shapeId="0" xr:uid="{00000000-0006-0000-0100-0000C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8" authorId="2" shapeId="0" xr:uid="{00000000-0006-0000-0100-0000C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8" authorId="2" shapeId="0" xr:uid="{00000000-0006-0000-0100-0000C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8" authorId="2" shapeId="0" xr:uid="{00000000-0006-0000-0100-0000C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8" authorId="2" shapeId="0" xr:uid="{00000000-0006-0000-0100-0000C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8" authorId="2" shapeId="0" xr:uid="{00000000-0006-0000-0100-0000C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8" authorId="2" shapeId="0" xr:uid="{00000000-0006-0000-0100-0000C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8" authorId="2" shapeId="0" xr:uid="{00000000-0006-0000-0100-0000D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8" authorId="2" shapeId="0" xr:uid="{00000000-0006-0000-0100-0000D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8" authorId="2" shapeId="0" xr:uid="{00000000-0006-0000-0100-0000D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8" authorId="2" shapeId="0" xr:uid="{00000000-0006-0000-0100-0000D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8" authorId="2" shapeId="0" xr:uid="{00000000-0006-0000-0100-0000D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8" authorId="2" shapeId="0" xr:uid="{00000000-0006-0000-0100-0000D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8" authorId="2" shapeId="0" xr:uid="{00000000-0006-0000-0100-0000D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8" authorId="1" shapeId="0" xr:uid="{00000000-0006-0000-0100-0000D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89" authorId="2" shapeId="0" xr:uid="{00000000-0006-0000-0100-0000D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89" authorId="2" shapeId="0" xr:uid="{00000000-0006-0000-0100-0000D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89" authorId="2" shapeId="0" xr:uid="{00000000-0006-0000-0100-0000D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89" authorId="2" shapeId="0" xr:uid="{00000000-0006-0000-0100-0000D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89" authorId="2" shapeId="0" xr:uid="{00000000-0006-0000-0100-0000D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89" authorId="2" shapeId="0" xr:uid="{00000000-0006-0000-0100-0000D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89" authorId="2" shapeId="0" xr:uid="{00000000-0006-0000-0100-0000D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89" authorId="2" shapeId="0" xr:uid="{00000000-0006-0000-0100-0000D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89" authorId="2" shapeId="0" xr:uid="{00000000-0006-0000-0100-0000E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89" authorId="2" shapeId="0" xr:uid="{00000000-0006-0000-0100-0000E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89" authorId="2" shapeId="0" xr:uid="{00000000-0006-0000-0100-0000E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89" authorId="2" shapeId="0" xr:uid="{00000000-0006-0000-0100-0000E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89" authorId="2" shapeId="0" xr:uid="{00000000-0006-0000-0100-0000E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89" authorId="2" shapeId="0" xr:uid="{00000000-0006-0000-0100-0000E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89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  <comment ref="B90" authorId="2" shapeId="0" xr:uid="{00000000-0006-0000-0100-0000E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C90" authorId="2" shapeId="0" xr:uid="{00000000-0006-0000-0100-0000E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D90" authorId="2" shapeId="0" xr:uid="{00000000-0006-0000-0100-0000E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E90" authorId="2" shapeId="0" xr:uid="{00000000-0006-0000-0100-0000E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F90" authorId="2" shapeId="0" xr:uid="{00000000-0006-0000-0100-0000E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G90" authorId="2" shapeId="0" xr:uid="{00000000-0006-0000-0100-0000E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H90" authorId="2" shapeId="0" xr:uid="{00000000-0006-0000-0100-0000E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I90" authorId="2" shapeId="0" xr:uid="{00000000-0006-0000-0100-0000E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J90" authorId="2" shapeId="0" xr:uid="{00000000-0006-0000-0100-0000E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K90" authorId="2" shapeId="0" xr:uid="{00000000-0006-0000-0100-0000F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L90" authorId="2" shapeId="0" xr:uid="{00000000-0006-0000-0100-0000F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M90" authorId="2" shapeId="0" xr:uid="{00000000-0006-0000-0100-0000F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N90" authorId="2" shapeId="0" xr:uid="{00000000-0006-0000-0100-0000F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O90" authorId="2" shapeId="0" xr:uid="{00000000-0006-0000-0100-0000F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Cantidad de participantes a matricular</t>
        </r>
      </text>
    </comment>
    <comment ref="P90" authorId="1" shapeId="0" xr:uid="{00000000-0006-0000-0100-0000F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Valor según derechos pecuniarios vigentes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Tenga en cuentra que los valores presupuestados correponden a los del primer año salvo en honorarios docentes e inversiones</t>
        </r>
      </text>
    </comment>
    <comment ref="A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Indique los cargos, numero de personas por cargo, valores salariales y de auxilio de transporte si aplica</t>
        </r>
      </text>
    </comment>
    <comment ref="A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Utilice este espacio si requiere personal administrativo por fuera de la nómina</t>
        </r>
      </text>
    </comment>
    <comment ref="A2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Utilice este espacio si requiere personal docente por fuera de la nómina</t>
        </r>
      </text>
    </comment>
    <comment ref="D2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seleccione el valor por hora correspondiente a los profesores cátedra, o los honorarios en los posgrados</t>
        </r>
      </text>
    </comment>
    <comment ref="A4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Si requiere la contración de personal por fuera de nómina indique que personas y por que razones</t>
        </r>
      </text>
    </comment>
    <comment ref="A5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Considere los desplazamientos necesarios para la representación y difusión de programa</t>
        </r>
      </text>
    </comment>
    <comment ref="A66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Tenga en cuenta las movilidades docentes entrantes y salientes tanto para cursos como para participación en eventos</t>
        </r>
      </text>
    </comment>
    <comment ref="A7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los conceptos asociados a los desplazamientos del personal administrativo</t>
        </r>
      </text>
    </comment>
    <comment ref="A8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los conceptos asociados a los desplazamientos del personal docente</t>
        </r>
      </text>
    </comment>
    <comment ref="A9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Complete el cuadro con infromación de despalazamientos por vía terresre para personal administrativo del programa</t>
        </r>
      </text>
    </comment>
    <comment ref="A100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Complete el cuadro con infromación de despalazamientos por vía terresre para personal docente del programa</t>
        </r>
      </text>
    </comment>
    <comment ref="A108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los conceptos asociados a los desplazamientos del personal administrativo</t>
        </r>
      </text>
    </comment>
    <comment ref="A116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los conceptos asociados a los desplazamientos del personal docente</t>
        </r>
      </text>
    </comment>
    <comment ref="D141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Si el profgrama es de modalidad presencial deje los 12 meses, si es de modalidad virtual escriba cero (0)</t>
        </r>
      </text>
    </comment>
    <comment ref="A163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Indicar el requerimiento de estos elementos para el programa</t>
        </r>
      </text>
    </comment>
    <comment ref="E178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Requiere tener en cuenta 12 Salarios para progrmas de pregrado y posgrado y de 7 salarios para técnicos y tecnológicos, actualice el valor del salario mínimo mensual legal vigente</t>
        </r>
      </text>
    </comment>
    <comment ref="A183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Indique los recursos necesarios para mantener las instalaciones del programa funcionando de manera adecuada, solicite apoyo en servicios generales</t>
        </r>
      </text>
    </comment>
    <comment ref="A19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Si requiere arreglos especiales diferentes al mantenimiento ordinario calculos aquí, consulte con servicios generales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  <author>usc</author>
  </authors>
  <commentList>
    <comment ref="B2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Acorde con la modalidad y nivel de formación del programa indique las horas presenciales o sincrónicas de un crédito académico</t>
        </r>
      </text>
    </comment>
    <comment ref="AN2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SI SU PROGRAMA ES DE RENOVACIÓN </t>
        </r>
        <r>
          <rPr>
            <sz val="9"/>
            <color indexed="81"/>
            <rFont val="Tahoma"/>
            <family val="2"/>
          </rPr>
          <t>debe diligencias esta área</t>
        </r>
      </text>
    </comment>
    <comment ref="AI23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Numero máximo de estudiantes por curso presencial</t>
        </r>
      </text>
    </comment>
    <comment ref="AQ23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Numero máximo de estudiantes por curso presencial</t>
        </r>
      </text>
    </comment>
    <comment ref="AJ24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Numero de horas con acompañamiento docente por cada crédito de práctica</t>
        </r>
      </text>
    </comment>
    <comment ref="AK24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Cantidad de estudiantes máximos por rotación</t>
        </r>
      </text>
    </comment>
    <comment ref="AL24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Cantidad de grupos (profesores) requeridos para la práctica</t>
        </r>
      </text>
    </comment>
    <comment ref="AR24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Numero de horas con acompañamiento docente por cada crédito de práctica</t>
        </r>
      </text>
    </comment>
    <comment ref="AS24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Cantidad de estudiantes máximos por rotación</t>
        </r>
      </text>
    </comment>
    <comment ref="AT24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usc:</t>
        </r>
        <r>
          <rPr>
            <sz val="9"/>
            <color indexed="81"/>
            <rFont val="Tahoma"/>
            <family val="2"/>
          </rPr>
          <t xml:space="preserve">
Cantidad de grupos (profesores) requeridos para la práctica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Transcriba el nombre, modalidad, obligatoriedad, número de créditos de los cursos que componen la estructura curricular</t>
        </r>
        <r>
          <rPr>
            <b/>
            <sz val="9"/>
            <color indexed="81"/>
            <rFont val="Tahoma"/>
            <family val="2"/>
          </rPr>
          <t xml:space="preserve"> propuesta</t>
        </r>
        <r>
          <rPr>
            <sz val="9"/>
            <color indexed="81"/>
            <rFont val="Tahoma"/>
            <family val="2"/>
          </rPr>
          <t xml:space="preserve"> por cada nivel semestral, indicando el tipo de contratación del docente a asignar</t>
        </r>
      </text>
    </comment>
    <comment ref="N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SI SU PROGRAMA ES DE RENOVACIÓN</t>
        </r>
        <r>
          <rPr>
            <sz val="9"/>
            <color indexed="81"/>
            <rFont val="Tahoma"/>
            <family val="2"/>
          </rPr>
          <t xml:space="preserve">
Transcriba el nombre, modalidad, obligatoriedad, número de créditos de los cursos que componen la estructura curricular </t>
        </r>
        <r>
          <rPr>
            <b/>
            <sz val="9"/>
            <color indexed="81"/>
            <rFont val="Tahoma"/>
            <family val="2"/>
          </rPr>
          <t>actual</t>
        </r>
        <r>
          <rPr>
            <sz val="9"/>
            <color indexed="81"/>
            <rFont val="Tahoma"/>
            <family val="2"/>
          </rPr>
          <t xml:space="preserve"> por cada nivel semestral, indicando el tipo de contratación del docente asignado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B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Indique la fecha de diligenciamineto del plan</t>
        </r>
      </text>
    </comment>
    <comment ref="A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Indique los aportes que hará el programa a la infraestructura general de la universidad, separe la parte física de las redes dando mayor participación a la que corresponda según el programa sea presencial o virtual.
Considera también inversiones propias para el programa o compartidas con la facultad.
Inserte las filas que estime necesarias.</t>
        </r>
      </text>
    </comment>
    <comment ref="A1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Diferenciar entre invesrsiones en espacios administrativos al servicio del programa o la facultad y espacios académicos.
Inserte las filas que sena necesarias.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Astudillo Villegas</author>
  </authors>
  <commentList>
    <comment ref="A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Incluya el plan para adqusución de libros en físico y bases de datos.
Agregue las filas necesarias.</t>
        </r>
      </text>
    </comment>
    <comment ref="A1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Relacione el plan para aquirir software especializado y equipos de larga duración para dotación de laboratorios.
Incluya la filas que requiera.</t>
        </r>
      </text>
    </comment>
    <comment ref="A1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Ricardo Astudillo Villegas:</t>
        </r>
        <r>
          <rPr>
            <sz val="9"/>
            <color indexed="81"/>
            <rFont val="Tahoma"/>
            <family val="2"/>
          </rPr>
          <t xml:space="preserve">
Elaobre y valore el plan para la creación de curso y módulos para programas virtuales y de soporte a los presenciales en Moodle.
Inserte las filas necesarias.</t>
        </r>
      </text>
    </comment>
  </commentList>
</comments>
</file>

<file path=xl/sharedStrings.xml><?xml version="1.0" encoding="utf-8"?>
<sst xmlns="http://schemas.openxmlformats.org/spreadsheetml/2006/main" count="876" uniqueCount="463">
  <si>
    <t>RESPONSABLE</t>
  </si>
  <si>
    <t>No. ASISTENTES</t>
  </si>
  <si>
    <t>CENTRO DE COSTO</t>
  </si>
  <si>
    <t>VER ANEXO</t>
  </si>
  <si>
    <t>VR MATRICULA</t>
  </si>
  <si>
    <t>JORNADA</t>
  </si>
  <si>
    <t>TODAS</t>
  </si>
  <si>
    <t>DERECHOS DE GRADO</t>
  </si>
  <si>
    <t>CONCEPTO</t>
  </si>
  <si>
    <t>VALOR TOTAL</t>
  </si>
  <si>
    <t>Convenios</t>
  </si>
  <si>
    <t xml:space="preserve">TOTAL INGRESOS  </t>
  </si>
  <si>
    <t>2. DESEMBOLSOS</t>
  </si>
  <si>
    <t xml:space="preserve">Sub Total </t>
  </si>
  <si>
    <t xml:space="preserve">Honorarios </t>
  </si>
  <si>
    <t>Seguros</t>
  </si>
  <si>
    <t>De cumplimiento</t>
  </si>
  <si>
    <t>Estudiantil</t>
  </si>
  <si>
    <t>Activos Fijos</t>
  </si>
  <si>
    <t>Otros Seguros</t>
  </si>
  <si>
    <t>Servicios</t>
  </si>
  <si>
    <t>Aseo</t>
  </si>
  <si>
    <t>Telefono Fijo y Celular</t>
  </si>
  <si>
    <t>Acueducto y Alcantarillado</t>
  </si>
  <si>
    <t>Energia Electrica</t>
  </si>
  <si>
    <t>Fax, Internet</t>
  </si>
  <si>
    <t>Gastos Legales</t>
  </si>
  <si>
    <t>Notariales</t>
  </si>
  <si>
    <t>Tramites y licencias</t>
  </si>
  <si>
    <t>Otros Gastos Legales</t>
  </si>
  <si>
    <t>Mantenimientos y Adecuaciones</t>
  </si>
  <si>
    <t>Bienes Inmuebles</t>
  </si>
  <si>
    <t>Bienes Muebles</t>
  </si>
  <si>
    <t>Equipos de Computo</t>
  </si>
  <si>
    <t>Equipo Medio Cientifico</t>
  </si>
  <si>
    <t>Piscinas</t>
  </si>
  <si>
    <t>Vehiculo</t>
  </si>
  <si>
    <t>Instrumentos Musicales</t>
  </si>
  <si>
    <t>Articulos de Mantenimiento</t>
  </si>
  <si>
    <t>Adecuaciones Ornamentales</t>
  </si>
  <si>
    <t>Reparaciones Locativas</t>
  </si>
  <si>
    <t>Otras Adecuaciones e Instalaciones</t>
  </si>
  <si>
    <t>Diversos</t>
  </si>
  <si>
    <t>Libros,periodicos y revistas</t>
  </si>
  <si>
    <t>Suscripciones</t>
  </si>
  <si>
    <t>Elementos de Aseo y Cafeteria</t>
  </si>
  <si>
    <t>Utiles y Papeleria</t>
  </si>
  <si>
    <t>Material Didactico</t>
  </si>
  <si>
    <t>Fotocopias</t>
  </si>
  <si>
    <t>Taxis y Buses</t>
  </si>
  <si>
    <t>Casino y Restaurantes</t>
  </si>
  <si>
    <t>Parqueaderos</t>
  </si>
  <si>
    <t>Diplomas y Caligrafia</t>
  </si>
  <si>
    <t>Cajas Menores</t>
  </si>
  <si>
    <t>Insumos Medicos</t>
  </si>
  <si>
    <t>Insumos de Laboratorio</t>
  </si>
  <si>
    <t>Lenceria y Otros Articulos</t>
  </si>
  <si>
    <t>Implementos Deportivos</t>
  </si>
  <si>
    <t>Insumos para Carnets</t>
  </si>
  <si>
    <t xml:space="preserve">Investigación, Bienestar y Extensión </t>
  </si>
  <si>
    <t>Investigación</t>
  </si>
  <si>
    <t>Bienestar Universitario</t>
  </si>
  <si>
    <t>Extensión y Desarrollo</t>
  </si>
  <si>
    <t>Apoyo Academico, Administrativo, Planta Fisica</t>
  </si>
  <si>
    <t>TOTAL DESEMBOLSOS</t>
  </si>
  <si>
    <t>EXCEDENTE O DEFICIT</t>
  </si>
  <si>
    <t>Tecnológica - Inscripción</t>
  </si>
  <si>
    <t xml:space="preserve">Tecnológica - Matricula </t>
  </si>
  <si>
    <t>Profesional - Inscripción</t>
  </si>
  <si>
    <t xml:space="preserve">Profesional - Matricula </t>
  </si>
  <si>
    <t>Postgrados - Inscripción</t>
  </si>
  <si>
    <t xml:space="preserve">Postgrados - Matricula </t>
  </si>
  <si>
    <t>Técnico Profesional - Inscripción</t>
  </si>
  <si>
    <t xml:space="preserve">Técnico Profesional - Matricula </t>
  </si>
  <si>
    <t>Educación Formal - Superior Técnico Profesional</t>
  </si>
  <si>
    <t>Educación Formal - Superior Tecnológica</t>
  </si>
  <si>
    <t>Educación Formal - Superior Profesional</t>
  </si>
  <si>
    <t>Educación Formal - Superior Postgrados</t>
  </si>
  <si>
    <t>Educación No Formal - Formacion Extensiva</t>
  </si>
  <si>
    <t>Educación Informal - Continuada</t>
  </si>
  <si>
    <t>Formacion Extensiva - Congresos</t>
  </si>
  <si>
    <t>Formacion Extensiva - Diplomados</t>
  </si>
  <si>
    <t>Formacion Extensiva - Seminarios</t>
  </si>
  <si>
    <t>Continuada - Cursos de Actualización</t>
  </si>
  <si>
    <t>Continuada - Conferencias</t>
  </si>
  <si>
    <t>Continuada - Talleres</t>
  </si>
  <si>
    <t>Continuada - Otros</t>
  </si>
  <si>
    <t>Técnico Profesional - Devoluciones</t>
  </si>
  <si>
    <t>Técnico Profesional - Descuentos</t>
  </si>
  <si>
    <t>Técnico Profesional - Becas</t>
  </si>
  <si>
    <t>Tecnológica - Devoluciones</t>
  </si>
  <si>
    <t>Tecnológica - Descuentos</t>
  </si>
  <si>
    <t>Tecnológica - Becas</t>
  </si>
  <si>
    <t>Postgrados - Devoluciones</t>
  </si>
  <si>
    <t>Postgrados - Descuentos</t>
  </si>
  <si>
    <t>Postgrados - Becas</t>
  </si>
  <si>
    <t>Profesional - Devoluciones</t>
  </si>
  <si>
    <t>Profesional - Descuentos</t>
  </si>
  <si>
    <t>Formacion Extensiva - Devoluciones</t>
  </si>
  <si>
    <t>Formacion Extensiva - Descuentos</t>
  </si>
  <si>
    <t>Formacion Extensiva - Becas</t>
  </si>
  <si>
    <t>Técnico Profesional - Derechos Academicos</t>
  </si>
  <si>
    <t>Tecnológica - Derechos Academicos</t>
  </si>
  <si>
    <t>Profesional - Derechos Academicos</t>
  </si>
  <si>
    <t>Postgrados - Derechos Academicos</t>
  </si>
  <si>
    <t>Formacion Extensiva - Inscripción Diplomados</t>
  </si>
  <si>
    <t>Continuada - Devoluciones</t>
  </si>
  <si>
    <t>Continuada - Descuentos</t>
  </si>
  <si>
    <t>Continuada - Becas</t>
  </si>
  <si>
    <t>Unidades de Negocio</t>
  </si>
  <si>
    <t>Consultorias</t>
  </si>
  <si>
    <t>Preescolar - Jardion Infantil USC</t>
  </si>
  <si>
    <t xml:space="preserve">Asistencia Tecnica - Metrología </t>
  </si>
  <si>
    <t xml:space="preserve">Salud oral - Clinica Odontologica </t>
  </si>
  <si>
    <t>Medicamentos - Centro de Vacunación</t>
  </si>
  <si>
    <t>Comercializados - Tienda USC</t>
  </si>
  <si>
    <t>Técnico Profesional - Otros ingresos</t>
  </si>
  <si>
    <t>Tecnológica - Otros ingresos</t>
  </si>
  <si>
    <t>Profesional - Otros ingresos</t>
  </si>
  <si>
    <t>Postgrados - Otros ingresos</t>
  </si>
  <si>
    <t xml:space="preserve">Otros Ingresos </t>
  </si>
  <si>
    <t>Bienestar Universitario (Recreación)</t>
  </si>
  <si>
    <t>Sueldos - Personal Administrativo</t>
  </si>
  <si>
    <t>Sueldos - Docentes Tiempo Completo</t>
  </si>
  <si>
    <t>Sueldos - Docentes Medio Tiempo</t>
  </si>
  <si>
    <t>Sueldos - Docentes Indefinidos</t>
  </si>
  <si>
    <t>Sueldos - Docentes Hora Catedra</t>
  </si>
  <si>
    <t>Otros Gastos de Personal - Administrativos</t>
  </si>
  <si>
    <r>
      <t>Prestaciones Sociales -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Administrativos</t>
    </r>
    <r>
      <rPr>
        <sz val="8"/>
        <rFont val="Arial"/>
        <family val="2"/>
      </rPr>
      <t xml:space="preserve"> (Incluye Bonificación)</t>
    </r>
  </si>
  <si>
    <t>Sueldos - Docentes Dedicación Exclusiva</t>
  </si>
  <si>
    <t>Otros Gastos de Personal - Docente</t>
  </si>
  <si>
    <t>Honorarios - Docentes</t>
  </si>
  <si>
    <t>Honorarios - Trabajos especiales</t>
  </si>
  <si>
    <t>Viaticos - Administrativos</t>
  </si>
  <si>
    <t>Transporte Terrestre - Administrativos (fuera de la ciudad)</t>
  </si>
  <si>
    <t>Hospedaje y Alimentación - Administrativos</t>
  </si>
  <si>
    <t>Pasajes Aereos - Administrativos</t>
  </si>
  <si>
    <t>Pasajes Aereos - Docente</t>
  </si>
  <si>
    <t>Hospedaje y Alimentación - Docente</t>
  </si>
  <si>
    <t>Transporte Terrestre - Docente (fuera de la ciudad)</t>
  </si>
  <si>
    <t>Viaticos - Docente</t>
  </si>
  <si>
    <t>Gastos de Viaje Administrativo</t>
  </si>
  <si>
    <t>Gastos de Viaje Docentes</t>
  </si>
  <si>
    <t>Arrendamientos Operativos</t>
  </si>
  <si>
    <t>Impresiones, Publicaciones, Suscripciones y Afiliaciones</t>
  </si>
  <si>
    <t>Impresiones</t>
  </si>
  <si>
    <t>Publicaciones</t>
  </si>
  <si>
    <t>Afiliaciones</t>
  </si>
  <si>
    <t>Vigilancia y Seguridad</t>
  </si>
  <si>
    <t>Transporte</t>
  </si>
  <si>
    <t>Diseño</t>
  </si>
  <si>
    <t>Plublicidad y Propaganda</t>
  </si>
  <si>
    <t>Cafeteria y Restaurante</t>
  </si>
  <si>
    <t>Reparaciones, Adecuaciones e Istalaciones</t>
  </si>
  <si>
    <t>Materiales de Educación</t>
  </si>
  <si>
    <t>Eventos Culturales</t>
  </si>
  <si>
    <t>Combustibles y Lubricantes</t>
  </si>
  <si>
    <t>Procesamiento de Informacion</t>
  </si>
  <si>
    <t>ANEXOS INGRESOS</t>
  </si>
  <si>
    <t>INGRESO POR INSCRIPCIONES</t>
  </si>
  <si>
    <t>CURSO</t>
  </si>
  <si>
    <t>No. ESTUDIANTES</t>
  </si>
  <si>
    <t>PERIODO A</t>
  </si>
  <si>
    <t>PERIODO B</t>
  </si>
  <si>
    <t>Total</t>
  </si>
  <si>
    <t>INGRESO POR MATRICULAS</t>
  </si>
  <si>
    <t>Vr. Matricula</t>
  </si>
  <si>
    <t>Primero</t>
  </si>
  <si>
    <t>Segundo</t>
  </si>
  <si>
    <t>Tercero</t>
  </si>
  <si>
    <t>Cuarto</t>
  </si>
  <si>
    <t>Quinto</t>
  </si>
  <si>
    <t>Sexto</t>
  </si>
  <si>
    <t>Septimo</t>
  </si>
  <si>
    <t>Octavo</t>
  </si>
  <si>
    <t>Noveno</t>
  </si>
  <si>
    <t>Decimo</t>
  </si>
  <si>
    <t>INGRESO POR DERECHOS DE GRADO</t>
  </si>
  <si>
    <t>Vr. Derechos</t>
  </si>
  <si>
    <t>Estudiantes</t>
  </si>
  <si>
    <t>Certificaciones</t>
  </si>
  <si>
    <t>Supletorios</t>
  </si>
  <si>
    <t>Habilitaciones</t>
  </si>
  <si>
    <t>Reintegros</t>
  </si>
  <si>
    <t>Validaciones y Homologaciones</t>
  </si>
  <si>
    <t>50% Y 100%</t>
  </si>
  <si>
    <t>TECNICO</t>
  </si>
  <si>
    <t>POSTGRADO</t>
  </si>
  <si>
    <t>EXTENSIVA</t>
  </si>
  <si>
    <t>CONTINUADA</t>
  </si>
  <si>
    <t>FORMACION</t>
  </si>
  <si>
    <t>OTROS INGRESO ACADEMICOS DIVERSOS</t>
  </si>
  <si>
    <t>INGRESO EXTENSIVA Y CONTINUADA</t>
  </si>
  <si>
    <t>DIPLOMADO</t>
  </si>
  <si>
    <t>SEMINARIO</t>
  </si>
  <si>
    <t>CONGRESO</t>
  </si>
  <si>
    <t>CURSO DE ACTUALIZACION</t>
  </si>
  <si>
    <t>CONFERENCIA</t>
  </si>
  <si>
    <t>TALLER</t>
  </si>
  <si>
    <t>OTROS</t>
  </si>
  <si>
    <t>FORMAL Y NO FORMAL</t>
  </si>
  <si>
    <t>OTROS INGRESOS</t>
  </si>
  <si>
    <t>UNIDADES DE NEGOCIO</t>
  </si>
  <si>
    <t>DESCRIPCION</t>
  </si>
  <si>
    <t>ANEXOS COSTOS Y GASTOS</t>
  </si>
  <si>
    <t>PERSONAL ADMINISTRATIVO</t>
  </si>
  <si>
    <t>CARGO</t>
  </si>
  <si>
    <t>No. REQUERIDO</t>
  </si>
  <si>
    <t>SUELDO BASE</t>
  </si>
  <si>
    <t>AUX TRANSPORTE</t>
  </si>
  <si>
    <t>COSTO AÑO SUELDO</t>
  </si>
  <si>
    <t>TOTAL PERSONAL</t>
  </si>
  <si>
    <t>TOTAL</t>
  </si>
  <si>
    <t>VALOR UNITARIO</t>
  </si>
  <si>
    <t>OBSERVACIONES</t>
  </si>
  <si>
    <t>HONORARIOS DOCENTES Y/O CONFERENCISTAS</t>
  </si>
  <si>
    <t>MOTIVO</t>
  </si>
  <si>
    <t>No. DE HORAS</t>
  </si>
  <si>
    <t>V/HORA</t>
  </si>
  <si>
    <t>CASO</t>
  </si>
  <si>
    <t>VALOR</t>
  </si>
  <si>
    <t>HONORARIOS POR TRABAJOS ESPECIALES</t>
  </si>
  <si>
    <t>ARRENDAMIENTOS</t>
  </si>
  <si>
    <t>CLASE DE BIEN</t>
  </si>
  <si>
    <t>CANON MES</t>
  </si>
  <si>
    <t>CANTIDAD</t>
  </si>
  <si>
    <t>MESES</t>
  </si>
  <si>
    <t>V / TOTAL</t>
  </si>
  <si>
    <t>VALOR ANUAL</t>
  </si>
  <si>
    <t>PROVEEDOR</t>
  </si>
  <si>
    <t>SEGUROS</t>
  </si>
  <si>
    <t>PRIMA</t>
  </si>
  <si>
    <t xml:space="preserve"> SERVICIOS GENERALES ( Solo se Diligencia por el Centro de Costo General 310, Palmira y Centro)</t>
  </si>
  <si>
    <t>VALOR MES</t>
  </si>
  <si>
    <t>No. MESES</t>
  </si>
  <si>
    <t>V/TOTAL</t>
  </si>
  <si>
    <t>OBSERVACIONES Y JUSTIFICACION</t>
  </si>
  <si>
    <t>EVENTO</t>
  </si>
  <si>
    <t>CANTIDAD O TIEMPO</t>
  </si>
  <si>
    <t>Prensa</t>
  </si>
  <si>
    <t>Radio</t>
  </si>
  <si>
    <t>Correo</t>
  </si>
  <si>
    <t>Televisión</t>
  </si>
  <si>
    <t>Publicidad</t>
  </si>
  <si>
    <t xml:space="preserve">GASTOS LEGALES O TRAMITES </t>
  </si>
  <si>
    <t>ESPECIFICACION</t>
  </si>
  <si>
    <t>Tramites y Licencias</t>
  </si>
  <si>
    <t>Otros Gastos Legales ( Incluye gastos de Acreditación y Renovación de Registros Calificados)</t>
  </si>
  <si>
    <t>MANTENIMIENTO Y ADECUACIONES</t>
  </si>
  <si>
    <t>ESTOS VALORES DEBEN SER CONCERTADOS CON SERVICIOS GENERALES DE LA USC, EN CASO CONTRARIO ANEXAR COTIZACION PROVEEDOR</t>
  </si>
  <si>
    <t>Adecuaciones ornamentales</t>
  </si>
  <si>
    <t>NOMBRE BENEFICIARIO</t>
  </si>
  <si>
    <t>FECHA ESTIMADA</t>
  </si>
  <si>
    <t>No. TIQUETES</t>
  </si>
  <si>
    <t>V/ UNITARIO</t>
  </si>
  <si>
    <t>OBSEVACIONES</t>
  </si>
  <si>
    <t>HOTEL</t>
  </si>
  <si>
    <t>INCLUYE ALIMENTACION</t>
  </si>
  <si>
    <t>No. DE NOCHES</t>
  </si>
  <si>
    <t>VALOR POR NOCHE</t>
  </si>
  <si>
    <t>ORGEN</t>
  </si>
  <si>
    <t>DESTINO</t>
  </si>
  <si>
    <t>No DE VIAJES</t>
  </si>
  <si>
    <t>V/DIA</t>
  </si>
  <si>
    <t>No. DE DIAS</t>
  </si>
  <si>
    <t>Según las tarifas establecidas</t>
  </si>
  <si>
    <t>OTROS GASTOS DE PERSONAL ADMINISTRATIVO</t>
  </si>
  <si>
    <t>OTROS GASTOS DE PERSONAL DOCENTE</t>
  </si>
  <si>
    <t>CUANTIFICACION NOMINA DE DOCENTES DE CONTRATACION ESPECIAL</t>
  </si>
  <si>
    <t>DEDICACION EXCLUSIVA</t>
  </si>
  <si>
    <t>TOTAL AÑO</t>
  </si>
  <si>
    <t>FACTOR PRESTACIONAL</t>
  </si>
  <si>
    <t>TOTAL NOMINA</t>
  </si>
  <si>
    <t>TIEMPO COMPLETO</t>
  </si>
  <si>
    <t>MEDIO TIEMPO</t>
  </si>
  <si>
    <t>INDEFINIDO</t>
  </si>
  <si>
    <t>PASAJES AEREOS DOCENTES</t>
  </si>
  <si>
    <t>HOSPEDAJE Y ALIMENTACION ADMINISTRATIVOS</t>
  </si>
  <si>
    <t>HOSPEDAJE Y ALIMENTACION DOCENTES</t>
  </si>
  <si>
    <t>PASAJES AEREOS ADMINISTRATIVOS</t>
  </si>
  <si>
    <t>TRANSPORTE TERRESTRE ADMINISTRATIVOS</t>
  </si>
  <si>
    <t>TRANSPORTE TERRESTRE DOCENTES</t>
  </si>
  <si>
    <t>VIATICOS ADMINISTRATIVOS</t>
  </si>
  <si>
    <t>VIATICOS DOCENTES</t>
  </si>
  <si>
    <t>IMPRESIONES, PUBLICACIONES, SUSCRIPCIONES Y AFILIACIONES</t>
  </si>
  <si>
    <t>Otros Gastos Servicios</t>
  </si>
  <si>
    <t>SERVICIOS - PUBLICIDAD Y PROPAGANDA</t>
  </si>
  <si>
    <t>REPARACIONES, ADECUACIONES E INSTALACIONES</t>
  </si>
  <si>
    <t>DIVERSOS</t>
  </si>
  <si>
    <t>Gastos de Personal Administrativo</t>
  </si>
  <si>
    <t>Gastos de Personal Docente</t>
  </si>
  <si>
    <t>MODALIDAD</t>
  </si>
  <si>
    <t>Hora Catedra</t>
  </si>
  <si>
    <t>Hora Practica Salud</t>
  </si>
  <si>
    <t>Hora Practica 5año Salud e Internado</t>
  </si>
  <si>
    <t>Hora Tecnología</t>
  </si>
  <si>
    <t>SALARIOS MENSUALES (sin factor prestacional)</t>
  </si>
  <si>
    <t>DEX</t>
  </si>
  <si>
    <t>TCE</t>
  </si>
  <si>
    <t>MTE</t>
  </si>
  <si>
    <t>MTP</t>
  </si>
  <si>
    <t>Año 1</t>
  </si>
  <si>
    <t>Año 2</t>
  </si>
  <si>
    <t>Año 3</t>
  </si>
  <si>
    <t>Año 4</t>
  </si>
  <si>
    <t>Ajuste anual</t>
  </si>
  <si>
    <t>Año Completo</t>
  </si>
  <si>
    <t>Ajuste anual Costos</t>
  </si>
  <si>
    <t>Semestre</t>
  </si>
  <si>
    <t>Año 5</t>
  </si>
  <si>
    <t>Creditos</t>
  </si>
  <si>
    <t>Horas</t>
  </si>
  <si>
    <t>En los semestres donde hay cursos electivos se considera su apertura.</t>
  </si>
  <si>
    <t>Open House</t>
  </si>
  <si>
    <r>
      <t>Un servico por cada</t>
    </r>
    <r>
      <rPr>
        <b/>
        <sz val="10"/>
        <color indexed="10"/>
        <rFont val="Calibri"/>
        <family val="2"/>
      </rPr>
      <t xml:space="preserve"> X </t>
    </r>
    <r>
      <rPr>
        <b/>
        <sz val="10"/>
        <color indexed="8"/>
        <rFont val="Calibri"/>
        <family val="2"/>
      </rPr>
      <t>estudiantes</t>
    </r>
  </si>
  <si>
    <t>FECHA DE TERMINACION</t>
  </si>
  <si>
    <t>Deserción</t>
  </si>
  <si>
    <t>Deserción Acumulada</t>
  </si>
  <si>
    <r>
      <t>Prestaciones Sociales - Docentes</t>
    </r>
    <r>
      <rPr>
        <sz val="8"/>
        <rFont val="Arial"/>
        <family val="2"/>
      </rPr>
      <t xml:space="preserve"> (Incluye Bonific.)</t>
    </r>
  </si>
  <si>
    <t>Graduados</t>
  </si>
  <si>
    <t>Comisión agencia compra tiquetes aereos</t>
  </si>
  <si>
    <t>CREDITOS</t>
  </si>
  <si>
    <t>Oblig</t>
  </si>
  <si>
    <t>Elect</t>
  </si>
  <si>
    <t>No. Grup</t>
  </si>
  <si>
    <t>FECHA INICIO</t>
  </si>
  <si>
    <t>Pract</t>
  </si>
  <si>
    <t>POR PRACTICA</t>
  </si>
  <si>
    <t>Horas Presenc</t>
  </si>
  <si>
    <t>No. Estud</t>
  </si>
  <si>
    <t>No. Grupos</t>
  </si>
  <si>
    <r>
      <t xml:space="preserve">COSTO HORA </t>
    </r>
    <r>
      <rPr>
        <b/>
        <sz val="8"/>
        <color indexed="9"/>
        <rFont val="Cambria"/>
        <family val="1"/>
      </rPr>
      <t>(sin carga prestacional)</t>
    </r>
  </si>
  <si>
    <r>
      <t xml:space="preserve">COSTO HORA </t>
    </r>
    <r>
      <rPr>
        <b/>
        <sz val="8"/>
        <color indexed="9"/>
        <rFont val="Cambria"/>
        <family val="1"/>
      </rPr>
      <t>(con carga prestacional)</t>
    </r>
  </si>
  <si>
    <t xml:space="preserve"> </t>
  </si>
  <si>
    <t>Docentes año 1</t>
  </si>
  <si>
    <t>Docentes año 2</t>
  </si>
  <si>
    <t>Docentes año 3</t>
  </si>
  <si>
    <t>Docentes año 4</t>
  </si>
  <si>
    <t>Docentes año 5</t>
  </si>
  <si>
    <t>Folletos promocionales</t>
  </si>
  <si>
    <t>Dex</t>
  </si>
  <si>
    <t>TC</t>
  </si>
  <si>
    <t>MT</t>
  </si>
  <si>
    <t>HC</t>
  </si>
  <si>
    <t>SUELDO POR HORA</t>
  </si>
  <si>
    <t>No. HORAS AÑO</t>
  </si>
  <si>
    <t>semanas año</t>
  </si>
  <si>
    <t>Horas semanales</t>
  </si>
  <si>
    <t>Horas anuales</t>
  </si>
  <si>
    <t>PERIODO DE PROYECCIÓN</t>
  </si>
  <si>
    <t>Horas investigación por hora docencia</t>
  </si>
  <si>
    <t>Clase sin proyecto</t>
  </si>
  <si>
    <t>Clase con proyecto</t>
  </si>
  <si>
    <t>Pago MEN Registro Calificado</t>
  </si>
  <si>
    <t>Consumibles laboratorios y prácticas</t>
  </si>
  <si>
    <t>CRÉDITOS Y HORAS DE DOCENCIA PRESENCIAL REQUERIDAS SEMESTRE A SEMESTRE DURANTE LA COHORTE</t>
  </si>
  <si>
    <t>Periodo 1</t>
  </si>
  <si>
    <t>Periodo 2</t>
  </si>
  <si>
    <t>Periodo 3</t>
  </si>
  <si>
    <t>Periodo 4</t>
  </si>
  <si>
    <t>Periodo 5</t>
  </si>
  <si>
    <t>Periodo 6</t>
  </si>
  <si>
    <t>Periodo 7</t>
  </si>
  <si>
    <t>Periodo 8</t>
  </si>
  <si>
    <t>Periodo 9</t>
  </si>
  <si>
    <t>Periodo 10</t>
  </si>
  <si>
    <t>HORAS DE DOCENCIA POR SEMESTRE</t>
  </si>
  <si>
    <t>HORAS DE INVESTIGACIÓN POR SEMESTRE</t>
  </si>
  <si>
    <t>Desplazamientos al aeropuerto</t>
  </si>
  <si>
    <t>Año 6</t>
  </si>
  <si>
    <t>Año 7</t>
  </si>
  <si>
    <t>Periodo 11</t>
  </si>
  <si>
    <t>Periodo 12</t>
  </si>
  <si>
    <t>Periodo 13</t>
  </si>
  <si>
    <t>Periodo 14</t>
  </si>
  <si>
    <t xml:space="preserve">NOMBRE CENTRO DE COSTO </t>
  </si>
  <si>
    <t>VR INSCRIPCIÓN</t>
  </si>
  <si>
    <t>Profesional - Becas 50% Y 100%</t>
  </si>
  <si>
    <t>Docentes año 6</t>
  </si>
  <si>
    <t>Docentes año 7</t>
  </si>
  <si>
    <t>Matriculados Periodo actual</t>
  </si>
  <si>
    <t>DILIGENCIE SOLO LAS CELDAS EN COLOR VERDE ACORDE CON LA INSTRUCCIÓN DE LA NOTA</t>
  </si>
  <si>
    <t>DESCUENTOS BECAS MATRÍCULAS DE HONOR</t>
  </si>
  <si>
    <t>Congresos</t>
  </si>
  <si>
    <t>Diplomados</t>
  </si>
  <si>
    <t>Seminarios</t>
  </si>
  <si>
    <t>Cursos Actualización</t>
  </si>
  <si>
    <t>Conferencias</t>
  </si>
  <si>
    <t>Talleres</t>
  </si>
  <si>
    <t>Otros</t>
  </si>
  <si>
    <t>Vr. Unitario</t>
  </si>
  <si>
    <t>FACTOR PRESTACION</t>
  </si>
  <si>
    <t>Viajes personal administrativo</t>
  </si>
  <si>
    <t>Viajes docentes esntrantes y salientes</t>
  </si>
  <si>
    <t>Marcación de títulos</t>
  </si>
  <si>
    <t>Deserción a la Titulación</t>
  </si>
  <si>
    <t>Once</t>
  </si>
  <si>
    <t>Doce</t>
  </si>
  <si>
    <t>COMPORTAMIENTO DE LA MATRICULA DE ESTUDIANTES EN LA COHORTE INICIAL</t>
  </si>
  <si>
    <t xml:space="preserve">indica una relación de 1 a </t>
  </si>
  <si>
    <t>NIVEL</t>
  </si>
  <si>
    <t>Niveles plan de estudio</t>
  </si>
  <si>
    <t>Curso, Módulo o Asignatura</t>
  </si>
  <si>
    <t>Obligatoriedad (O; E)</t>
  </si>
  <si>
    <t>Docente         (Dex; TC; MT; HC)</t>
  </si>
  <si>
    <t>Modalidad                   (T; TP; P)</t>
  </si>
  <si>
    <t>Créditos</t>
  </si>
  <si>
    <t>T</t>
  </si>
  <si>
    <t>TP</t>
  </si>
  <si>
    <t>P</t>
  </si>
  <si>
    <t>O</t>
  </si>
  <si>
    <t>E</t>
  </si>
  <si>
    <r>
      <t xml:space="preserve">ESTRUCTURA CURRICULAR </t>
    </r>
    <r>
      <rPr>
        <b/>
        <sz val="11"/>
        <color rgb="FFFF0000"/>
        <rFont val="Calibri"/>
        <family val="2"/>
        <scheme val="minor"/>
      </rPr>
      <t>PROPUESTA</t>
    </r>
    <r>
      <rPr>
        <b/>
        <sz val="11"/>
        <color theme="1"/>
        <rFont val="Calibri"/>
        <family val="2"/>
        <scheme val="minor"/>
      </rPr>
      <t xml:space="preserve"> DEL PROGRAMA</t>
    </r>
  </si>
  <si>
    <r>
      <t xml:space="preserve">ESTRUCTURA CURRICULAR </t>
    </r>
    <r>
      <rPr>
        <b/>
        <sz val="11"/>
        <color rgb="FFFF0000"/>
        <rFont val="Calibri"/>
        <family val="2"/>
        <scheme val="minor"/>
      </rPr>
      <t>ACTUAL</t>
    </r>
    <r>
      <rPr>
        <b/>
        <sz val="11"/>
        <color theme="1"/>
        <rFont val="Calibri"/>
        <family val="2"/>
        <scheme val="minor"/>
      </rPr>
      <t xml:space="preserve"> DEL PROGRAMA</t>
    </r>
  </si>
  <si>
    <r>
      <t xml:space="preserve">Información de </t>
    </r>
    <r>
      <rPr>
        <b/>
        <sz val="11"/>
        <color rgb="FFFF0000"/>
        <rFont val="Calibri"/>
        <family val="2"/>
        <scheme val="minor"/>
      </rPr>
      <t>Estructura Actual</t>
    </r>
  </si>
  <si>
    <t>Con Acompañamiento (sincrónico) / Independiente (asincrónico)</t>
  </si>
  <si>
    <t>Para el semestre</t>
  </si>
  <si>
    <t>Según el número de grupos</t>
  </si>
  <si>
    <t>Acumulado desde primero</t>
  </si>
  <si>
    <t>Acumulado a partir de aquí</t>
  </si>
  <si>
    <t>Total Créditos Académicos</t>
  </si>
  <si>
    <t>HONORARIOS POR ASESORIAS</t>
  </si>
  <si>
    <t xml:space="preserve">Honorarios - Asesorias </t>
  </si>
  <si>
    <t>Impresión guias, revistas, libros</t>
  </si>
  <si>
    <t>Volantes</t>
  </si>
  <si>
    <t>NO Matriculados</t>
  </si>
  <si>
    <t>%  Absorción</t>
  </si>
  <si>
    <t>% Deserción Acumulada</t>
  </si>
  <si>
    <t>Aproximado Docentes</t>
  </si>
  <si>
    <t>DILIGENCIE SOLO LAS CELDAS EN COLOR VERDE ACORDE CON LAS ESTRUCTURAS CURRICULARES PROPUESTAS Y ACTUALES, SEGÚN DOCUMENTO MAESTRO</t>
  </si>
  <si>
    <t>Periodicidad de admisión</t>
  </si>
  <si>
    <t>Semestral</t>
  </si>
  <si>
    <t>Anual</t>
  </si>
  <si>
    <t>FORMATO PRESUPUESTAL PARA INFORMES AL MEN</t>
  </si>
  <si>
    <t>TECNOLOGICO</t>
  </si>
  <si>
    <t xml:space="preserve">Fecha de realización: </t>
  </si>
  <si>
    <t>Objetivo</t>
  </si>
  <si>
    <t xml:space="preserve"> Meta</t>
  </si>
  <si>
    <t>Estrategia</t>
  </si>
  <si>
    <t>Responsables</t>
  </si>
  <si>
    <t>Indicador</t>
  </si>
  <si>
    <t>TOTAL PLAN DE ADQUISICIÓN, CONSTRUCCIÓN O PRÉSTAMO DE INFRAESTRUCTURA FÍSICA Y TECNOLÓGICA</t>
  </si>
  <si>
    <t>Concepto</t>
  </si>
  <si>
    <t>INFRAESTRUCTURA</t>
  </si>
  <si>
    <t>MUEBLES Y ENSERES</t>
  </si>
  <si>
    <t>EQUIPOS DE OFICINA</t>
  </si>
  <si>
    <t>EQUIPOS DE COMPUTACIÓN</t>
  </si>
  <si>
    <t>EQUIPOS MÉDICO CIENTÍFICOS</t>
  </si>
  <si>
    <t>EQUÍPOS DE PRÁCTICAS ACADÉMICAS</t>
  </si>
  <si>
    <t>OTRAS INVERSIONES</t>
  </si>
  <si>
    <t>Recurso requerido (Técnico, Humano)</t>
  </si>
  <si>
    <t>Plazo de ejecución y monto del recurso financiero requerido</t>
  </si>
  <si>
    <t>TOTAL PLAN DE ADQUISICIÓN, CONSTRUCCIÓN O PRÉSTAMO DE MEDIOS EDUCATIVOS</t>
  </si>
  <si>
    <t>MATERIAL BIBLIOGRÁFICO</t>
  </si>
  <si>
    <t>DESARROLLO DE MATERIAL VIRTUAL</t>
  </si>
  <si>
    <t>Plan de inversión Infraestructura Física y Tecnológica</t>
  </si>
  <si>
    <t>Plan de inversión Medios Educativos</t>
  </si>
  <si>
    <t>TOTAL INVERSIÓN</t>
  </si>
  <si>
    <t>Una Cohorte</t>
  </si>
  <si>
    <t>PROFESIONAL</t>
  </si>
  <si>
    <t>1. INGRESOS</t>
  </si>
  <si>
    <t>TARIFAS VIGENTES</t>
  </si>
  <si>
    <t>R-PO003 / Versión 13 / 05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</si>
</sst>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[$$-240A]\ #,##0"/>
    <numFmt numFmtId="168" formatCode="_ &quot;$&quot;\ * #,##0.00_ ;_ &quot;$&quot;\ * \-#,##0.00_ ;_ &quot;$&quot;\ * &quot;-&quot;??_ ;_ @_ "/>
    <numFmt numFmtId="169" formatCode="0.0%"/>
    <numFmt numFmtId="170" formatCode="_-* #,##0\ _€_-;\-* #,##0\ _€_-;_-* &quot;-&quot;??\ _€_-;_-@_-"/>
    <numFmt numFmtId="171" formatCode="_([$$-240A]\ * #,##0_);_([$$-240A]\ * \(#,##0\);_([$$-240A]\ * &quot;-&quot;??_);_(@_)"/>
    <numFmt numFmtId="172" formatCode="0.0"/>
    <numFmt numFmtId="173" formatCode="#,##0.0"/>
    <numFmt numFmtId="174" formatCode="0.00000%"/>
    <numFmt numFmtId="175" formatCode="_-[$$-240A]\ * #,##0.00000_-;\-[$$-240A]\ * #,##0.00000_-;_-[$$-240A]\ * &quot;-&quot;?????_-;_-@_-"/>
    <numFmt numFmtId="176" formatCode="_(* #,##0_);_(* \(#,##0\);_(* &quot;-&quot;??_);_(@_)"/>
  </numFmts>
  <fonts count="6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name val="Arial Narrow"/>
      <family val="2"/>
    </font>
    <font>
      <b/>
      <sz val="13"/>
      <name val="Arial"/>
      <family val="2"/>
    </font>
    <font>
      <sz val="6"/>
      <name val="Arial"/>
      <family val="2"/>
    </font>
    <font>
      <b/>
      <sz val="16"/>
      <name val="Cambria"/>
      <family val="1"/>
    </font>
    <font>
      <sz val="16"/>
      <name val="Cambria"/>
      <family val="1"/>
    </font>
    <font>
      <b/>
      <sz val="9"/>
      <color indexed="81"/>
      <name val="Tahoma"/>
      <family val="2"/>
    </font>
    <font>
      <sz val="7"/>
      <name val="Arial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9"/>
      <color indexed="81"/>
      <name val="Tahoma"/>
      <family val="2"/>
    </font>
    <font>
      <b/>
      <sz val="8"/>
      <color indexed="9"/>
      <name val="Cambria"/>
      <family val="1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9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8"/>
      <name val="Calibri Light"/>
      <family val="1"/>
      <scheme val="major"/>
    </font>
    <font>
      <b/>
      <sz val="8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b/>
      <sz val="12"/>
      <name val="Calibri Light"/>
      <family val="1"/>
      <scheme val="major"/>
    </font>
    <font>
      <sz val="9"/>
      <name val="Calibri Light"/>
      <family val="1"/>
      <scheme val="major"/>
    </font>
    <font>
      <sz val="11"/>
      <color theme="1"/>
      <name val="Cambria"/>
      <family val="1"/>
    </font>
    <font>
      <b/>
      <sz val="16"/>
      <color theme="0"/>
      <name val="Cambria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Calibri Light"/>
      <family val="2"/>
      <scheme val="major"/>
    </font>
    <font>
      <b/>
      <u/>
      <sz val="16"/>
      <color indexed="9"/>
      <name val="Calibri Light"/>
      <family val="1"/>
      <scheme val="major"/>
    </font>
    <font>
      <b/>
      <u/>
      <sz val="14"/>
      <color indexed="9"/>
      <name val="Calibri Light"/>
      <family val="1"/>
      <scheme val="major"/>
    </font>
    <font>
      <b/>
      <u/>
      <sz val="16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name val="Calibri Light"/>
      <family val="2"/>
      <scheme val="major"/>
    </font>
    <font>
      <sz val="1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b/>
      <sz val="16"/>
      <name val="Calibri Light"/>
      <family val="1"/>
      <scheme val="major"/>
    </font>
    <font>
      <b/>
      <sz val="11"/>
      <color rgb="FFFF0000"/>
      <name val="Calibri"/>
      <family val="2"/>
      <scheme val="minor"/>
    </font>
    <font>
      <b/>
      <sz val="18"/>
      <color theme="0"/>
      <name val="Calibri Light"/>
      <family val="1"/>
      <scheme val="major"/>
    </font>
    <font>
      <b/>
      <u/>
      <sz val="13"/>
      <color indexed="9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16"/>
      <color theme="0"/>
      <name val="Calibri Light"/>
      <family val="1"/>
      <scheme val="major"/>
    </font>
    <font>
      <b/>
      <sz val="14"/>
      <color theme="0"/>
      <name val="Calibri Light"/>
      <family val="1"/>
      <scheme val="major"/>
    </font>
    <font>
      <b/>
      <sz val="12"/>
      <color theme="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double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</cellStyleXfs>
  <cellXfs count="611">
    <xf numFmtId="0" fontId="0" fillId="0" borderId="0" xfId="0"/>
    <xf numFmtId="167" fontId="1" fillId="0" borderId="1" xfId="0" applyNumberFormat="1" applyFont="1" applyBorder="1" applyAlignment="1" applyProtection="1">
      <alignment horizontal="right" vertical="center"/>
      <protection locked="0"/>
    </xf>
    <xf numFmtId="167" fontId="1" fillId="2" borderId="2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167" fontId="1" fillId="2" borderId="2" xfId="0" quotePrefix="1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167" fontId="1" fillId="0" borderId="1" xfId="3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67" fontId="1" fillId="2" borderId="4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7" fontId="7" fillId="3" borderId="2" xfId="0" applyNumberFormat="1" applyFont="1" applyFill="1" applyBorder="1" applyAlignment="1">
      <alignment vertical="center"/>
    </xf>
    <xf numFmtId="167" fontId="8" fillId="0" borderId="1" xfId="2" applyNumberFormat="1" applyFont="1" applyBorder="1" applyProtection="1">
      <protection locked="0"/>
    </xf>
    <xf numFmtId="0" fontId="1" fillId="0" borderId="0" xfId="0" applyFont="1"/>
    <xf numFmtId="49" fontId="1" fillId="0" borderId="0" xfId="0" applyNumberFormat="1" applyFont="1"/>
    <xf numFmtId="0" fontId="0" fillId="4" borderId="0" xfId="0" applyFill="1"/>
    <xf numFmtId="49" fontId="1" fillId="4" borderId="0" xfId="0" applyNumberFormat="1" applyFont="1" applyFill="1"/>
    <xf numFmtId="0" fontId="1" fillId="4" borderId="0" xfId="0" applyFont="1" applyFill="1"/>
    <xf numFmtId="0" fontId="2" fillId="4" borderId="0" xfId="0" applyFont="1" applyFill="1" applyAlignment="1">
      <alignment horizontal="centerContinuous"/>
    </xf>
    <xf numFmtId="0" fontId="5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167" fontId="1" fillId="4" borderId="9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left" vertical="center"/>
    </xf>
    <xf numFmtId="49" fontId="1" fillId="4" borderId="17" xfId="0" applyNumberFormat="1" applyFont="1" applyFill="1" applyBorder="1"/>
    <xf numFmtId="0" fontId="1" fillId="4" borderId="17" xfId="0" applyFont="1" applyFill="1" applyBorder="1"/>
    <xf numFmtId="0" fontId="2" fillId="4" borderId="0" xfId="0" applyFont="1" applyFill="1" applyAlignment="1">
      <alignment vertical="center"/>
    </xf>
    <xf numFmtId="167" fontId="2" fillId="4" borderId="0" xfId="3" applyNumberFormat="1" applyFont="1" applyFill="1" applyBorder="1" applyAlignment="1" applyProtection="1">
      <alignment vertical="center"/>
    </xf>
    <xf numFmtId="167" fontId="2" fillId="4" borderId="0" xfId="0" applyNumberFormat="1" applyFont="1" applyFill="1" applyAlignment="1">
      <alignment vertical="center"/>
    </xf>
    <xf numFmtId="0" fontId="9" fillId="4" borderId="18" xfId="0" applyFont="1" applyFill="1" applyBorder="1" applyAlignment="1">
      <alignment vertical="center"/>
    </xf>
    <xf numFmtId="167" fontId="9" fillId="4" borderId="18" xfId="3" applyNumberFormat="1" applyFont="1" applyFill="1" applyBorder="1" applyAlignment="1" applyProtection="1">
      <alignment vertical="center"/>
    </xf>
    <xf numFmtId="167" fontId="9" fillId="4" borderId="18" xfId="0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18" fontId="2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9" fontId="29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wrapText="1"/>
      <protection locked="0"/>
    </xf>
    <xf numFmtId="0" fontId="31" fillId="3" borderId="19" xfId="0" applyFont="1" applyFill="1" applyBorder="1" applyAlignment="1" applyProtection="1">
      <alignment wrapText="1"/>
      <protection locked="0"/>
    </xf>
    <xf numFmtId="3" fontId="31" fillId="3" borderId="20" xfId="0" applyNumberFormat="1" applyFont="1" applyFill="1" applyBorder="1" applyAlignment="1" applyProtection="1">
      <alignment wrapText="1"/>
      <protection locked="0"/>
    </xf>
    <xf numFmtId="3" fontId="31" fillId="3" borderId="21" xfId="0" applyNumberFormat="1" applyFont="1" applyFill="1" applyBorder="1" applyAlignment="1" applyProtection="1">
      <alignment wrapText="1"/>
      <protection locked="0"/>
    </xf>
    <xf numFmtId="0" fontId="31" fillId="0" borderId="0" xfId="0" applyFont="1" applyAlignment="1" applyProtection="1">
      <alignment wrapText="1"/>
      <protection locked="0"/>
    </xf>
    <xf numFmtId="3" fontId="31" fillId="0" borderId="0" xfId="0" applyNumberFormat="1" applyFont="1" applyAlignment="1" applyProtection="1">
      <alignment wrapText="1"/>
      <protection locked="0"/>
    </xf>
    <xf numFmtId="0" fontId="30" fillId="0" borderId="0" xfId="0" applyFont="1" applyAlignment="1" applyProtection="1">
      <alignment wrapText="1"/>
      <protection locked="0"/>
    </xf>
    <xf numFmtId="3" fontId="31" fillId="3" borderId="22" xfId="0" applyNumberFormat="1" applyFont="1" applyFill="1" applyBorder="1" applyAlignment="1" applyProtection="1">
      <alignment wrapText="1"/>
      <protection locked="0"/>
    </xf>
    <xf numFmtId="3" fontId="31" fillId="3" borderId="23" xfId="0" applyNumberFormat="1" applyFont="1" applyFill="1" applyBorder="1" applyAlignment="1" applyProtection="1">
      <alignment wrapText="1"/>
      <protection locked="0"/>
    </xf>
    <xf numFmtId="0" fontId="29" fillId="3" borderId="5" xfId="0" applyFont="1" applyFill="1" applyBorder="1" applyAlignment="1" applyProtection="1">
      <alignment horizontal="center" vertical="center" wrapText="1"/>
      <protection locked="0"/>
    </xf>
    <xf numFmtId="0" fontId="29" fillId="3" borderId="4" xfId="0" applyFont="1" applyFill="1" applyBorder="1" applyAlignment="1" applyProtection="1">
      <alignment horizontal="center" vertical="center" wrapText="1"/>
      <protection locked="0"/>
    </xf>
    <xf numFmtId="3" fontId="30" fillId="0" borderId="4" xfId="0" applyNumberFormat="1" applyFont="1" applyBorder="1" applyAlignment="1" applyProtection="1">
      <alignment wrapText="1"/>
      <protection locked="0"/>
    </xf>
    <xf numFmtId="3" fontId="31" fillId="3" borderId="24" xfId="0" applyNumberFormat="1" applyFont="1" applyFill="1" applyBorder="1" applyAlignment="1" applyProtection="1">
      <alignment wrapText="1"/>
      <protection locked="0"/>
    </xf>
    <xf numFmtId="3" fontId="31" fillId="3" borderId="6" xfId="0" applyNumberFormat="1" applyFont="1" applyFill="1" applyBorder="1" applyAlignment="1" applyProtection="1">
      <alignment wrapText="1"/>
      <protection locked="0"/>
    </xf>
    <xf numFmtId="0" fontId="29" fillId="3" borderId="4" xfId="0" applyFont="1" applyFill="1" applyBorder="1" applyAlignment="1" applyProtection="1">
      <alignment vertical="center" wrapText="1"/>
      <protection locked="0"/>
    </xf>
    <xf numFmtId="3" fontId="31" fillId="3" borderId="25" xfId="0" applyNumberFormat="1" applyFont="1" applyFill="1" applyBorder="1" applyAlignment="1" applyProtection="1">
      <alignment wrapText="1"/>
      <protection locked="0"/>
    </xf>
    <xf numFmtId="0" fontId="29" fillId="3" borderId="5" xfId="0" applyFont="1" applyFill="1" applyBorder="1" applyAlignment="1" applyProtection="1">
      <alignment horizontal="center" wrapText="1"/>
      <protection locked="0"/>
    </xf>
    <xf numFmtId="0" fontId="29" fillId="3" borderId="1" xfId="0" applyFont="1" applyFill="1" applyBorder="1" applyAlignment="1" applyProtection="1">
      <alignment horizontal="center" wrapText="1"/>
      <protection locked="0"/>
    </xf>
    <xf numFmtId="0" fontId="29" fillId="3" borderId="26" xfId="0" applyFont="1" applyFill="1" applyBorder="1" applyAlignment="1" applyProtection="1">
      <alignment horizontal="center" vertical="center" wrapText="1"/>
      <protection locked="0"/>
    </xf>
    <xf numFmtId="0" fontId="29" fillId="3" borderId="27" xfId="0" applyFont="1" applyFill="1" applyBorder="1" applyAlignment="1" applyProtection="1">
      <alignment horizontal="center" vertical="center" wrapText="1"/>
      <protection locked="0"/>
    </xf>
    <xf numFmtId="0" fontId="32" fillId="3" borderId="19" xfId="0" applyFont="1" applyFill="1" applyBorder="1" applyAlignment="1" applyProtection="1">
      <alignment wrapText="1"/>
      <protection locked="0"/>
    </xf>
    <xf numFmtId="3" fontId="32" fillId="3" borderId="20" xfId="0" applyNumberFormat="1" applyFont="1" applyFill="1" applyBorder="1" applyAlignment="1" applyProtection="1">
      <alignment wrapText="1"/>
      <protection locked="0"/>
    </xf>
    <xf numFmtId="3" fontId="32" fillId="3" borderId="24" xfId="0" applyNumberFormat="1" applyFont="1" applyFill="1" applyBorder="1" applyAlignment="1" applyProtection="1">
      <alignment wrapText="1"/>
      <protection locked="0"/>
    </xf>
    <xf numFmtId="3" fontId="32" fillId="3" borderId="6" xfId="0" applyNumberFormat="1" applyFont="1" applyFill="1" applyBorder="1" applyAlignment="1" applyProtection="1">
      <alignment wrapText="1"/>
      <protection locked="0"/>
    </xf>
    <xf numFmtId="3" fontId="30" fillId="5" borderId="1" xfId="0" applyNumberFormat="1" applyFont="1" applyFill="1" applyBorder="1" applyAlignment="1">
      <alignment wrapText="1"/>
    </xf>
    <xf numFmtId="3" fontId="30" fillId="5" borderId="4" xfId="0" applyNumberFormat="1" applyFont="1" applyFill="1" applyBorder="1" applyAlignment="1">
      <alignment wrapText="1"/>
    </xf>
    <xf numFmtId="3" fontId="31" fillId="3" borderId="20" xfId="0" applyNumberFormat="1" applyFont="1" applyFill="1" applyBorder="1" applyAlignment="1">
      <alignment wrapText="1"/>
    </xf>
    <xf numFmtId="3" fontId="31" fillId="3" borderId="21" xfId="0" applyNumberFormat="1" applyFont="1" applyFill="1" applyBorder="1" applyAlignment="1">
      <alignment wrapText="1"/>
    </xf>
    <xf numFmtId="3" fontId="31" fillId="3" borderId="24" xfId="0" applyNumberFormat="1" applyFont="1" applyFill="1" applyBorder="1" applyAlignment="1">
      <alignment wrapText="1"/>
    </xf>
    <xf numFmtId="3" fontId="32" fillId="3" borderId="20" xfId="0" applyNumberFormat="1" applyFont="1" applyFill="1" applyBorder="1" applyAlignment="1">
      <alignment wrapText="1"/>
    </xf>
    <xf numFmtId="0" fontId="33" fillId="0" borderId="0" xfId="0" applyFont="1" applyProtection="1">
      <protection locked="0"/>
    </xf>
    <xf numFmtId="0" fontId="32" fillId="3" borderId="100" xfId="0" applyFont="1" applyFill="1" applyBorder="1" applyAlignment="1" applyProtection="1">
      <alignment horizontal="center" vertical="center"/>
      <protection locked="0"/>
    </xf>
    <xf numFmtId="0" fontId="32" fillId="3" borderId="100" xfId="0" applyFont="1" applyFill="1" applyBorder="1" applyAlignment="1" applyProtection="1">
      <alignment horizontal="center" vertical="center" wrapText="1"/>
      <protection locked="0"/>
    </xf>
    <xf numFmtId="0" fontId="32" fillId="3" borderId="101" xfId="0" applyFont="1" applyFill="1" applyBorder="1" applyAlignment="1" applyProtection="1">
      <alignment horizontal="center" vertical="center"/>
      <protection locked="0"/>
    </xf>
    <xf numFmtId="0" fontId="34" fillId="0" borderId="102" xfId="0" applyFont="1" applyBorder="1" applyProtection="1">
      <protection locked="0"/>
    </xf>
    <xf numFmtId="170" fontId="34" fillId="0" borderId="100" xfId="1" applyNumberFormat="1" applyFont="1" applyBorder="1" applyProtection="1">
      <protection locked="0"/>
    </xf>
    <xf numFmtId="0" fontId="34" fillId="6" borderId="102" xfId="0" applyFont="1" applyFill="1" applyBorder="1" applyProtection="1">
      <protection locked="0"/>
    </xf>
    <xf numFmtId="170" fontId="34" fillId="6" borderId="100" xfId="1" applyNumberFormat="1" applyFont="1" applyFill="1" applyBorder="1" applyProtection="1">
      <protection locked="0"/>
    </xf>
    <xf numFmtId="170" fontId="34" fillId="0" borderId="100" xfId="1" applyNumberFormat="1" applyFont="1" applyBorder="1" applyProtection="1"/>
    <xf numFmtId="170" fontId="34" fillId="0" borderId="101" xfId="1" applyNumberFormat="1" applyFont="1" applyBorder="1" applyProtection="1"/>
    <xf numFmtId="170" fontId="34" fillId="6" borderId="100" xfId="1" applyNumberFormat="1" applyFont="1" applyFill="1" applyBorder="1" applyProtection="1"/>
    <xf numFmtId="170" fontId="34" fillId="6" borderId="101" xfId="1" applyNumberFormat="1" applyFont="1" applyFill="1" applyBorder="1" applyProtection="1"/>
    <xf numFmtId="0" fontId="35" fillId="0" borderId="0" xfId="0" applyFont="1"/>
    <xf numFmtId="0" fontId="12" fillId="0" borderId="0" xfId="0" applyFont="1"/>
    <xf numFmtId="0" fontId="36" fillId="3" borderId="0" xfId="0" applyFont="1" applyFill="1" applyAlignment="1">
      <alignment horizontal="center" vertical="center" wrapText="1"/>
    </xf>
    <xf numFmtId="0" fontId="12" fillId="0" borderId="103" xfId="0" applyFont="1" applyBorder="1"/>
    <xf numFmtId="164" fontId="12" fillId="0" borderId="103" xfId="0" applyNumberFormat="1" applyFont="1" applyBorder="1"/>
    <xf numFmtId="0" fontId="12" fillId="7" borderId="103" xfId="0" applyFont="1" applyFill="1" applyBorder="1"/>
    <xf numFmtId="164" fontId="12" fillId="7" borderId="103" xfId="0" applyNumberFormat="1" applyFont="1" applyFill="1" applyBorder="1"/>
    <xf numFmtId="171" fontId="12" fillId="7" borderId="103" xfId="1" applyNumberFormat="1" applyFont="1" applyFill="1" applyBorder="1" applyProtection="1"/>
    <xf numFmtId="0" fontId="37" fillId="0" borderId="1" xfId="0" applyFont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1" fillId="4" borderId="30" xfId="0" applyFont="1" applyFill="1" applyBorder="1"/>
    <xf numFmtId="0" fontId="0" fillId="4" borderId="17" xfId="0" applyFill="1" applyBorder="1"/>
    <xf numFmtId="0" fontId="0" fillId="4" borderId="31" xfId="0" applyFill="1" applyBorder="1"/>
    <xf numFmtId="0" fontId="1" fillId="4" borderId="28" xfId="0" applyFont="1" applyFill="1" applyBorder="1"/>
    <xf numFmtId="0" fontId="0" fillId="4" borderId="29" xfId="0" applyFill="1" applyBorder="1"/>
    <xf numFmtId="0" fontId="1" fillId="4" borderId="32" xfId="0" applyFont="1" applyFill="1" applyBorder="1"/>
    <xf numFmtId="0" fontId="1" fillId="4" borderId="22" xfId="0" applyFont="1" applyFill="1" applyBorder="1"/>
    <xf numFmtId="0" fontId="0" fillId="4" borderId="22" xfId="0" applyFill="1" applyBorder="1"/>
    <xf numFmtId="0" fontId="0" fillId="4" borderId="23" xfId="0" applyFill="1" applyBorder="1"/>
    <xf numFmtId="9" fontId="1" fillId="0" borderId="1" xfId="4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9" fontId="6" fillId="0" borderId="1" xfId="4" applyFont="1" applyFill="1" applyBorder="1" applyAlignment="1" applyProtection="1">
      <alignment horizontal="center" vertical="center"/>
      <protection locked="0"/>
    </xf>
    <xf numFmtId="9" fontId="10" fillId="0" borderId="1" xfId="4" applyFont="1" applyFill="1" applyBorder="1" applyAlignment="1" applyProtection="1">
      <alignment horizontal="center" vertical="center"/>
      <protection locked="0"/>
    </xf>
    <xf numFmtId="1" fontId="30" fillId="0" borderId="1" xfId="0" applyNumberFormat="1" applyFont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4" borderId="0" xfId="0" applyNumberFormat="1" applyFont="1" applyFill="1" applyAlignment="1">
      <alignment horizontal="center" vertical="center"/>
    </xf>
    <xf numFmtId="1" fontId="9" fillId="4" borderId="18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wrapText="1"/>
    </xf>
    <xf numFmtId="0" fontId="27" fillId="8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/>
    </xf>
    <xf numFmtId="3" fontId="0" fillId="0" borderId="0" xfId="0" applyNumberFormat="1"/>
    <xf numFmtId="3" fontId="26" fillId="0" borderId="0" xfId="0" applyNumberFormat="1" applyFont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3" fontId="26" fillId="0" borderId="34" xfId="0" applyNumberFormat="1" applyFont="1" applyBorder="1" applyAlignment="1">
      <alignment horizontal="center"/>
    </xf>
    <xf numFmtId="3" fontId="26" fillId="9" borderId="33" xfId="0" applyNumberFormat="1" applyFont="1" applyFill="1" applyBorder="1" applyAlignment="1">
      <alignment horizontal="center"/>
    </xf>
    <xf numFmtId="3" fontId="26" fillId="0" borderId="35" xfId="0" applyNumberFormat="1" applyFont="1" applyBorder="1" applyAlignment="1">
      <alignment horizontal="center"/>
    </xf>
    <xf numFmtId="3" fontId="26" fillId="0" borderId="36" xfId="0" applyNumberFormat="1" applyFont="1" applyBorder="1"/>
    <xf numFmtId="3" fontId="26" fillId="9" borderId="37" xfId="0" applyNumberFormat="1" applyFont="1" applyFill="1" applyBorder="1" applyAlignment="1">
      <alignment horizontal="center"/>
    </xf>
    <xf numFmtId="3" fontId="26" fillId="0" borderId="38" xfId="0" applyNumberFormat="1" applyFont="1" applyBorder="1" applyAlignment="1">
      <alignment horizontal="center"/>
    </xf>
    <xf numFmtId="3" fontId="26" fillId="9" borderId="39" xfId="0" applyNumberFormat="1" applyFont="1" applyFill="1" applyBorder="1" applyAlignment="1">
      <alignment horizontal="center"/>
    </xf>
    <xf numFmtId="3" fontId="26" fillId="0" borderId="40" xfId="0" applyNumberFormat="1" applyFont="1" applyBorder="1" applyAlignment="1">
      <alignment horizontal="center"/>
    </xf>
    <xf numFmtId="9" fontId="14" fillId="0" borderId="1" xfId="4" applyFont="1" applyBorder="1" applyAlignment="1" applyProtection="1">
      <alignment horizontal="center" vertical="center"/>
      <protection locked="0"/>
    </xf>
    <xf numFmtId="3" fontId="26" fillId="0" borderId="41" xfId="0" applyNumberFormat="1" applyFont="1" applyBorder="1"/>
    <xf numFmtId="3" fontId="26" fillId="0" borderId="42" xfId="0" applyNumberFormat="1" applyFont="1" applyBorder="1"/>
    <xf numFmtId="3" fontId="26" fillId="0" borderId="43" xfId="0" applyNumberFormat="1" applyFont="1" applyBorder="1" applyAlignment="1">
      <alignment horizontal="center"/>
    </xf>
    <xf numFmtId="3" fontId="26" fillId="0" borderId="37" xfId="0" applyNumberFormat="1" applyFont="1" applyBorder="1" applyAlignment="1">
      <alignment horizontal="center"/>
    </xf>
    <xf numFmtId="3" fontId="26" fillId="0" borderId="44" xfId="0" applyNumberFormat="1" applyFont="1" applyBorder="1" applyAlignment="1">
      <alignment horizontal="center"/>
    </xf>
    <xf numFmtId="3" fontId="26" fillId="0" borderId="39" xfId="0" applyNumberFormat="1" applyFont="1" applyBorder="1" applyAlignment="1">
      <alignment horizontal="center"/>
    </xf>
    <xf numFmtId="0" fontId="38" fillId="4" borderId="0" xfId="0" applyFont="1" applyFill="1"/>
    <xf numFmtId="0" fontId="38" fillId="4" borderId="0" xfId="0" applyFont="1" applyFill="1" applyAlignment="1">
      <alignment wrapText="1"/>
    </xf>
    <xf numFmtId="167" fontId="39" fillId="4" borderId="0" xfId="0" applyNumberFormat="1" applyFont="1" applyFill="1"/>
    <xf numFmtId="3" fontId="30" fillId="5" borderId="1" xfId="0" applyNumberFormat="1" applyFont="1" applyFill="1" applyBorder="1" applyAlignment="1">
      <alignment vertical="center" wrapText="1"/>
    </xf>
    <xf numFmtId="3" fontId="30" fillId="0" borderId="4" xfId="0" applyNumberFormat="1" applyFont="1" applyBorder="1" applyAlignment="1" applyProtection="1">
      <alignment vertical="center" wrapText="1"/>
      <protection locked="0"/>
    </xf>
    <xf numFmtId="3" fontId="30" fillId="0" borderId="1" xfId="0" applyNumberFormat="1" applyFont="1" applyBorder="1" applyAlignment="1" applyProtection="1">
      <alignment horizontal="center" wrapText="1"/>
      <protection locked="0"/>
    </xf>
    <xf numFmtId="3" fontId="39" fillId="0" borderId="0" xfId="0" applyNumberFormat="1" applyFont="1"/>
    <xf numFmtId="3" fontId="39" fillId="0" borderId="0" xfId="0" applyNumberFormat="1" applyFont="1" applyAlignment="1">
      <alignment vertical="center"/>
    </xf>
    <xf numFmtId="169" fontId="39" fillId="0" borderId="0" xfId="4" applyNumberFormat="1" applyFont="1" applyAlignment="1">
      <alignment horizontal="center" vertical="center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26" fillId="0" borderId="45" xfId="0" applyNumberFormat="1" applyFont="1" applyBorder="1"/>
    <xf numFmtId="3" fontId="31" fillId="3" borderId="20" xfId="0" applyNumberFormat="1" applyFont="1" applyFill="1" applyBorder="1" applyAlignment="1" applyProtection="1">
      <alignment horizont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3" fontId="37" fillId="0" borderId="1" xfId="0" applyNumberFormat="1" applyFont="1" applyBorder="1" applyAlignment="1" applyProtection="1">
      <alignment horizontal="center" wrapText="1"/>
      <protection locked="0"/>
    </xf>
    <xf numFmtId="3" fontId="6" fillId="0" borderId="1" xfId="0" applyNumberFormat="1" applyFont="1" applyBorder="1" applyAlignment="1" applyProtection="1">
      <alignment horizontal="center" wrapText="1"/>
      <protection locked="0"/>
    </xf>
    <xf numFmtId="0" fontId="40" fillId="0" borderId="5" xfId="0" applyFont="1" applyBorder="1" applyAlignment="1" applyProtection="1">
      <alignment vertical="center" wrapText="1"/>
      <protection locked="0"/>
    </xf>
    <xf numFmtId="3" fontId="40" fillId="11" borderId="1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4" fillId="3" borderId="48" xfId="0" applyNumberFormat="1" applyFont="1" applyFill="1" applyBorder="1" applyAlignment="1">
      <alignment horizontal="right" vertical="center"/>
    </xf>
    <xf numFmtId="167" fontId="4" fillId="3" borderId="49" xfId="0" applyNumberFormat="1" applyFont="1" applyFill="1" applyBorder="1" applyAlignment="1">
      <alignment horizontal="right" vertical="center"/>
    </xf>
    <xf numFmtId="167" fontId="4" fillId="3" borderId="50" xfId="0" applyNumberFormat="1" applyFont="1" applyFill="1" applyBorder="1" applyAlignment="1">
      <alignment horizontal="right" vertical="center"/>
    </xf>
    <xf numFmtId="10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8" fillId="4" borderId="0" xfId="0" applyNumberFormat="1" applyFont="1" applyFill="1"/>
    <xf numFmtId="4" fontId="0" fillId="0" borderId="0" xfId="0" applyNumberFormat="1"/>
    <xf numFmtId="3" fontId="26" fillId="0" borderId="51" xfId="0" applyNumberFormat="1" applyFont="1" applyBorder="1" applyAlignment="1">
      <alignment horizontal="center"/>
    </xf>
    <xf numFmtId="3" fontId="0" fillId="12" borderId="0" xfId="0" applyNumberFormat="1" applyFill="1"/>
    <xf numFmtId="9" fontId="25" fillId="0" borderId="0" xfId="4" applyFont="1"/>
    <xf numFmtId="3" fontId="0" fillId="13" borderId="0" xfId="0" applyNumberFormat="1" applyFill="1"/>
    <xf numFmtId="3" fontId="0" fillId="14" borderId="0" xfId="0" applyNumberFormat="1" applyFill="1"/>
    <xf numFmtId="3" fontId="26" fillId="0" borderId="36" xfId="0" applyNumberFormat="1" applyFont="1" applyBorder="1" applyAlignment="1">
      <alignment vertical="center"/>
    </xf>
    <xf numFmtId="3" fontId="26" fillId="0" borderId="40" xfId="0" applyNumberFormat="1" applyFont="1" applyBorder="1" applyAlignment="1">
      <alignment horizontal="center" vertical="center"/>
    </xf>
    <xf numFmtId="3" fontId="26" fillId="0" borderId="35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10" borderId="44" xfId="0" applyNumberFormat="1" applyFill="1" applyBorder="1" applyAlignment="1">
      <alignment horizontal="center" vertical="center"/>
    </xf>
    <xf numFmtId="3" fontId="0" fillId="10" borderId="14" xfId="0" applyNumberFormat="1" applyFill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26" fillId="0" borderId="42" xfId="0" applyNumberFormat="1" applyFont="1" applyBorder="1" applyAlignment="1">
      <alignment vertical="center"/>
    </xf>
    <xf numFmtId="3" fontId="26" fillId="0" borderId="39" xfId="0" applyNumberFormat="1" applyFont="1" applyBorder="1" applyAlignment="1">
      <alignment horizontal="center" vertical="center"/>
    </xf>
    <xf numFmtId="3" fontId="26" fillId="0" borderId="33" xfId="0" applyNumberFormat="1" applyFon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26" fillId="0" borderId="41" xfId="0" applyNumberFormat="1" applyFont="1" applyBorder="1" applyAlignment="1">
      <alignment vertical="center"/>
    </xf>
    <xf numFmtId="3" fontId="26" fillId="0" borderId="57" xfId="0" applyNumberFormat="1" applyFont="1" applyBorder="1" applyAlignment="1">
      <alignment vertical="center"/>
    </xf>
    <xf numFmtId="3" fontId="0" fillId="10" borderId="58" xfId="0" applyNumberFormat="1" applyFill="1" applyBorder="1" applyAlignment="1">
      <alignment horizontal="center" vertical="center"/>
    </xf>
    <xf numFmtId="3" fontId="0" fillId="10" borderId="39" xfId="0" applyNumberForma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10" borderId="61" xfId="0" applyNumberForma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0" fillId="10" borderId="40" xfId="0" applyNumberFormat="1" applyFill="1" applyBorder="1" applyAlignment="1">
      <alignment horizontal="center" vertical="center"/>
    </xf>
    <xf numFmtId="3" fontId="0" fillId="10" borderId="65" xfId="0" applyNumberFormat="1" applyFill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10" borderId="67" xfId="0" applyNumberFormat="1" applyFill="1" applyBorder="1" applyAlignment="1">
      <alignment horizontal="center" vertical="center"/>
    </xf>
    <xf numFmtId="3" fontId="0" fillId="10" borderId="68" xfId="0" applyNumberFormat="1" applyFill="1" applyBorder="1" applyAlignment="1">
      <alignment horizontal="center" vertical="center"/>
    </xf>
    <xf numFmtId="3" fontId="0" fillId="10" borderId="69" xfId="0" applyNumberForma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3" fontId="35" fillId="0" borderId="0" xfId="0" applyNumberFormat="1" applyFont="1" applyAlignment="1">
      <alignment horizontal="center"/>
    </xf>
    <xf numFmtId="0" fontId="0" fillId="4" borderId="1" xfId="0" applyFill="1" applyBorder="1" applyAlignment="1">
      <alignment wrapText="1"/>
    </xf>
    <xf numFmtId="3" fontId="26" fillId="0" borderId="0" xfId="0" applyNumberFormat="1" applyFont="1"/>
    <xf numFmtId="9" fontId="26" fillId="0" borderId="0" xfId="4" applyFont="1"/>
    <xf numFmtId="9" fontId="41" fillId="0" borderId="0" xfId="0" applyNumberFormat="1" applyFont="1" applyAlignment="1" applyProtection="1">
      <alignment horizontal="center"/>
      <protection locked="0"/>
    </xf>
    <xf numFmtId="0" fontId="0" fillId="4" borderId="9" xfId="0" applyFill="1" applyBorder="1"/>
    <xf numFmtId="166" fontId="35" fillId="0" borderId="0" xfId="1" applyFont="1" applyAlignment="1" applyProtection="1">
      <alignment horizontal="center"/>
    </xf>
    <xf numFmtId="3" fontId="40" fillId="15" borderId="1" xfId="0" applyNumberFormat="1" applyFont="1" applyFill="1" applyBorder="1" applyAlignment="1" applyProtection="1">
      <alignment vertical="center" wrapText="1"/>
      <protection locked="0"/>
    </xf>
    <xf numFmtId="3" fontId="26" fillId="16" borderId="40" xfId="0" applyNumberFormat="1" applyFont="1" applyFill="1" applyBorder="1" applyAlignment="1">
      <alignment horizontal="center" vertical="center"/>
    </xf>
    <xf numFmtId="3" fontId="26" fillId="16" borderId="35" xfId="0" applyNumberFormat="1" applyFont="1" applyFill="1" applyBorder="1" applyAlignment="1">
      <alignment horizontal="center" vertical="center"/>
    </xf>
    <xf numFmtId="3" fontId="26" fillId="16" borderId="39" xfId="0" applyNumberFormat="1" applyFont="1" applyFill="1" applyBorder="1" applyAlignment="1">
      <alignment horizontal="center" vertical="center"/>
    </xf>
    <xf numFmtId="3" fontId="26" fillId="16" borderId="33" xfId="0" applyNumberFormat="1" applyFont="1" applyFill="1" applyBorder="1" applyAlignment="1">
      <alignment horizontal="center" vertical="center"/>
    </xf>
    <xf numFmtId="3" fontId="26" fillId="0" borderId="67" xfId="0" applyNumberFormat="1" applyFont="1" applyBorder="1" applyAlignment="1">
      <alignment horizontal="center" vertical="center"/>
    </xf>
    <xf numFmtId="3" fontId="26" fillId="0" borderId="70" xfId="0" applyNumberFormat="1" applyFont="1" applyBorder="1" applyAlignment="1">
      <alignment horizontal="center" vertical="center"/>
    </xf>
    <xf numFmtId="3" fontId="0" fillId="0" borderId="0" xfId="0" applyNumberFormat="1" applyAlignment="1">
      <alignment wrapText="1"/>
    </xf>
    <xf numFmtId="169" fontId="39" fillId="0" borderId="0" xfId="4" applyNumberFormat="1" applyFont="1" applyAlignment="1">
      <alignment horizontal="center" vertical="center" wrapText="1"/>
    </xf>
    <xf numFmtId="3" fontId="26" fillId="0" borderId="0" xfId="0" applyNumberFormat="1" applyFont="1" applyAlignment="1">
      <alignment horizontal="center" wrapText="1"/>
    </xf>
    <xf numFmtId="3" fontId="26" fillId="17" borderId="45" xfId="0" applyNumberFormat="1" applyFont="1" applyFill="1" applyBorder="1" applyAlignment="1">
      <alignment horizontal="center" vertical="center"/>
    </xf>
    <xf numFmtId="3" fontId="26" fillId="17" borderId="51" xfId="0" applyNumberFormat="1" applyFont="1" applyFill="1" applyBorder="1" applyAlignment="1">
      <alignment horizontal="center" vertical="center"/>
    </xf>
    <xf numFmtId="3" fontId="26" fillId="17" borderId="53" xfId="0" applyNumberFormat="1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7" fillId="0" borderId="61" xfId="0" applyFont="1" applyBorder="1" applyAlignment="1" applyProtection="1">
      <alignment wrapText="1"/>
      <protection locked="0"/>
    </xf>
    <xf numFmtId="0" fontId="30" fillId="0" borderId="71" xfId="0" applyFont="1" applyBorder="1" applyAlignment="1" applyProtection="1">
      <alignment horizontal="center" wrapText="1"/>
      <protection locked="0"/>
    </xf>
    <xf numFmtId="0" fontId="30" fillId="0" borderId="72" xfId="0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3" fillId="0" borderId="73" xfId="0" applyFont="1" applyBorder="1" applyAlignment="1">
      <alignment horizontal="right" vertical="center" wrapText="1"/>
    </xf>
    <xf numFmtId="0" fontId="42" fillId="3" borderId="28" xfId="0" applyFont="1" applyFill="1" applyBorder="1" applyAlignment="1" applyProtection="1">
      <alignment horizontal="left" vertical="center" wrapText="1"/>
      <protection locked="0"/>
    </xf>
    <xf numFmtId="0" fontId="43" fillId="3" borderId="0" xfId="0" applyFont="1" applyFill="1" applyAlignment="1" applyProtection="1">
      <alignment horizontal="center" vertical="center" wrapText="1"/>
      <protection locked="0"/>
    </xf>
    <xf numFmtId="0" fontId="29" fillId="3" borderId="7" xfId="0" applyFont="1" applyFill="1" applyBorder="1" applyAlignment="1" applyProtection="1">
      <alignment horizontal="center" vertical="center" wrapText="1"/>
      <protection locked="0"/>
    </xf>
    <xf numFmtId="49" fontId="1" fillId="4" borderId="30" xfId="0" applyNumberFormat="1" applyFont="1" applyFill="1" applyBorder="1"/>
    <xf numFmtId="0" fontId="1" fillId="4" borderId="31" xfId="0" applyFont="1" applyFill="1" applyBorder="1"/>
    <xf numFmtId="49" fontId="9" fillId="4" borderId="76" xfId="0" applyNumberFormat="1" applyFont="1" applyFill="1" applyBorder="1" applyAlignment="1">
      <alignment vertical="center"/>
    </xf>
    <xf numFmtId="167" fontId="9" fillId="4" borderId="77" xfId="0" applyNumberFormat="1" applyFont="1" applyFill="1" applyBorder="1" applyAlignment="1">
      <alignment vertical="center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4" fillId="0" borderId="17" xfId="0" applyFont="1" applyBorder="1" applyAlignment="1" applyProtection="1">
      <alignment vertical="center" wrapText="1"/>
      <protection locked="0"/>
    </xf>
    <xf numFmtId="0" fontId="44" fillId="0" borderId="2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0" fontId="25" fillId="0" borderId="0" xfId="4" applyNumberFormat="1" applyFont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vertical="center" wrapText="1"/>
      <protection locked="0"/>
    </xf>
    <xf numFmtId="3" fontId="40" fillId="5" borderId="20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21" xfId="0" applyNumberFormat="1" applyFont="1" applyBorder="1" applyAlignment="1">
      <alignment vertical="center" wrapText="1"/>
    </xf>
    <xf numFmtId="0" fontId="40" fillId="0" borderId="0" xfId="0" applyFont="1" applyAlignment="1" applyProtection="1">
      <alignment vertical="center"/>
      <protection locked="0"/>
    </xf>
    <xf numFmtId="3" fontId="40" fillId="15" borderId="1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1" xfId="0" applyNumberFormat="1" applyFont="1" applyBorder="1" applyAlignment="1">
      <alignment horizontal="center" vertical="center" wrapText="1"/>
    </xf>
    <xf numFmtId="0" fontId="45" fillId="0" borderId="19" xfId="0" applyFont="1" applyBorder="1" applyAlignment="1" applyProtection="1">
      <alignment vertical="center" wrapText="1"/>
      <protection locked="0"/>
    </xf>
    <xf numFmtId="169" fontId="40" fillId="0" borderId="0" xfId="4" applyNumberFormat="1" applyFont="1" applyAlignment="1" applyProtection="1">
      <alignment vertical="center"/>
      <protection locked="0"/>
    </xf>
    <xf numFmtId="3" fontId="46" fillId="16" borderId="1" xfId="0" applyNumberFormat="1" applyFont="1" applyFill="1" applyBorder="1" applyAlignment="1" applyProtection="1">
      <alignment horizontal="center" vertical="center" wrapText="1"/>
      <protection locked="0"/>
    </xf>
    <xf numFmtId="3" fontId="45" fillId="0" borderId="20" xfId="0" applyNumberFormat="1" applyFont="1" applyBorder="1" applyAlignment="1" applyProtection="1">
      <alignment horizontal="center" vertical="center" wrapText="1"/>
      <protection locked="0"/>
    </xf>
    <xf numFmtId="3" fontId="45" fillId="0" borderId="20" xfId="0" applyNumberFormat="1" applyFont="1" applyBorder="1" applyAlignment="1" applyProtection="1">
      <alignment vertical="center" wrapText="1"/>
      <protection locked="0"/>
    </xf>
    <xf numFmtId="3" fontId="45" fillId="0" borderId="21" xfId="0" applyNumberFormat="1" applyFont="1" applyBorder="1" applyAlignment="1">
      <alignment vertical="center" wrapText="1"/>
    </xf>
    <xf numFmtId="3" fontId="45" fillId="0" borderId="0" xfId="0" applyNumberFormat="1" applyFont="1" applyAlignment="1">
      <alignment vertical="center" wrapText="1"/>
    </xf>
    <xf numFmtId="3" fontId="40" fillId="11" borderId="20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20" xfId="0" applyNumberFormat="1" applyFont="1" applyBorder="1" applyAlignment="1" applyProtection="1">
      <alignment vertical="center" wrapText="1"/>
      <protection locked="0"/>
    </xf>
    <xf numFmtId="10" fontId="38" fillId="0" borderId="0" xfId="4" applyNumberFormat="1" applyFont="1" applyAlignment="1" applyProtection="1">
      <alignment horizontal="center" vertical="center"/>
      <protection locked="0"/>
    </xf>
    <xf numFmtId="172" fontId="47" fillId="0" borderId="0" xfId="0" applyNumberFormat="1" applyFont="1" applyAlignment="1">
      <alignment horizontal="center" vertical="center"/>
    </xf>
    <xf numFmtId="3" fontId="40" fillId="18" borderId="1" xfId="0" applyNumberFormat="1" applyFont="1" applyFill="1" applyBorder="1" applyAlignment="1" applyProtection="1">
      <alignment vertical="center" wrapText="1"/>
      <protection locked="0"/>
    </xf>
    <xf numFmtId="3" fontId="40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2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0" quotePrefix="1" applyFont="1" applyFill="1" applyBorder="1" applyAlignment="1" applyProtection="1">
      <alignment horizontal="center" vertical="center" wrapText="1"/>
      <protection locked="0"/>
    </xf>
    <xf numFmtId="14" fontId="2" fillId="18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vertical="center" wrapText="1"/>
    </xf>
    <xf numFmtId="3" fontId="22" fillId="18" borderId="2" xfId="0" applyNumberFormat="1" applyFont="1" applyFill="1" applyBorder="1" applyAlignment="1">
      <alignment horizontal="center" vertical="center" wrapText="1"/>
    </xf>
    <xf numFmtId="3" fontId="40" fillId="18" borderId="20" xfId="0" applyNumberFormat="1" applyFont="1" applyFill="1" applyBorder="1" applyAlignment="1" applyProtection="1">
      <alignment vertical="center" wrapText="1"/>
      <protection locked="0"/>
    </xf>
    <xf numFmtId="3" fontId="40" fillId="18" borderId="61" xfId="0" applyNumberFormat="1" applyFont="1" applyFill="1" applyBorder="1" applyAlignment="1" applyProtection="1">
      <alignment vertical="center" wrapText="1"/>
      <protection locked="0"/>
    </xf>
    <xf numFmtId="3" fontId="40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18" borderId="0" xfId="0" applyFont="1" applyFill="1" applyAlignment="1" applyProtection="1">
      <alignment horizontal="center" vertical="center"/>
      <protection locked="0"/>
    </xf>
    <xf numFmtId="3" fontId="38" fillId="18" borderId="0" xfId="0" applyNumberFormat="1" applyFont="1" applyFill="1" applyAlignment="1" applyProtection="1">
      <alignment horizontal="center" vertical="center"/>
      <protection locked="0"/>
    </xf>
    <xf numFmtId="3" fontId="40" fillId="0" borderId="0" xfId="0" applyNumberFormat="1" applyFont="1" applyAlignment="1">
      <alignment horizontal="center" vertical="center" wrapText="1"/>
    </xf>
    <xf numFmtId="0" fontId="49" fillId="0" borderId="0" xfId="0" applyFont="1" applyAlignment="1" applyProtection="1">
      <alignment horizontal="right" vertical="center"/>
      <protection locked="0"/>
    </xf>
    <xf numFmtId="0" fontId="26" fillId="18" borderId="0" xfId="0" applyFont="1" applyFill="1" applyAlignment="1" applyProtection="1">
      <alignment horizontal="center" vertical="center"/>
      <protection locked="0"/>
    </xf>
    <xf numFmtId="173" fontId="40" fillId="15" borderId="20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78" xfId="0" applyNumberFormat="1" applyFont="1" applyBorder="1" applyAlignment="1">
      <alignment vertical="center" wrapText="1"/>
    </xf>
    <xf numFmtId="3" fontId="40" fillId="0" borderId="79" xfId="0" applyNumberFormat="1" applyFont="1" applyBorder="1" applyAlignment="1">
      <alignment vertical="center" wrapText="1"/>
    </xf>
    <xf numFmtId="0" fontId="30" fillId="18" borderId="5" xfId="0" applyFont="1" applyFill="1" applyBorder="1" applyAlignment="1" applyProtection="1">
      <alignment wrapText="1"/>
      <protection locked="0"/>
    </xf>
    <xf numFmtId="3" fontId="30" fillId="18" borderId="1" xfId="0" applyNumberFormat="1" applyFont="1" applyFill="1" applyBorder="1" applyAlignment="1" applyProtection="1">
      <alignment horizontal="center" wrapText="1"/>
      <protection locked="0"/>
    </xf>
    <xf numFmtId="3" fontId="37" fillId="18" borderId="1" xfId="0" applyNumberFormat="1" applyFont="1" applyFill="1" applyBorder="1" applyAlignment="1" applyProtection="1">
      <alignment horizontal="center" wrapText="1"/>
      <protection locked="0"/>
    </xf>
    <xf numFmtId="3" fontId="30" fillId="18" borderId="1" xfId="0" applyNumberFormat="1" applyFont="1" applyFill="1" applyBorder="1" applyAlignment="1" applyProtection="1">
      <alignment wrapText="1"/>
      <protection locked="0"/>
    </xf>
    <xf numFmtId="0" fontId="30" fillId="18" borderId="1" xfId="0" applyFont="1" applyFill="1" applyBorder="1" applyAlignment="1" applyProtection="1">
      <alignment wrapText="1"/>
      <protection locked="0"/>
    </xf>
    <xf numFmtId="0" fontId="30" fillId="18" borderId="7" xfId="0" applyFont="1" applyFill="1" applyBorder="1" applyAlignment="1" applyProtection="1">
      <alignment wrapText="1"/>
      <protection locked="0"/>
    </xf>
    <xf numFmtId="0" fontId="30" fillId="18" borderId="7" xfId="0" applyFont="1" applyFill="1" applyBorder="1" applyAlignment="1" applyProtection="1">
      <alignment horizontal="center" wrapText="1"/>
      <protection locked="0"/>
    </xf>
    <xf numFmtId="0" fontId="30" fillId="18" borderId="1" xfId="0" applyFont="1" applyFill="1" applyBorder="1" applyAlignment="1" applyProtection="1">
      <alignment horizontal="center" wrapText="1"/>
      <protection locked="0"/>
    </xf>
    <xf numFmtId="17" fontId="30" fillId="18" borderId="1" xfId="0" applyNumberFormat="1" applyFont="1" applyFill="1" applyBorder="1" applyAlignment="1" applyProtection="1">
      <alignment horizontal="center" wrapText="1"/>
      <protection locked="0"/>
    </xf>
    <xf numFmtId="0" fontId="1" fillId="18" borderId="1" xfId="0" applyFont="1" applyFill="1" applyBorder="1" applyAlignment="1" applyProtection="1">
      <alignment horizontal="center" wrapText="1"/>
      <protection locked="0"/>
    </xf>
    <xf numFmtId="0" fontId="0" fillId="18" borderId="1" xfId="0" applyFill="1" applyBorder="1" applyAlignment="1" applyProtection="1">
      <alignment horizontal="center" wrapText="1"/>
      <protection locked="0"/>
    </xf>
    <xf numFmtId="1" fontId="30" fillId="0" borderId="1" xfId="0" applyNumberFormat="1" applyFont="1" applyBorder="1" applyAlignment="1" applyProtection="1">
      <alignment horizontal="center" wrapText="1"/>
      <protection locked="0"/>
    </xf>
    <xf numFmtId="0" fontId="30" fillId="18" borderId="61" xfId="0" applyFont="1" applyFill="1" applyBorder="1" applyAlignment="1" applyProtection="1">
      <alignment wrapText="1"/>
      <protection locked="0"/>
    </xf>
    <xf numFmtId="3" fontId="30" fillId="18" borderId="61" xfId="0" applyNumberFormat="1" applyFont="1" applyFill="1" applyBorder="1" applyAlignment="1" applyProtection="1">
      <alignment horizontal="center" wrapText="1"/>
      <protection locked="0"/>
    </xf>
    <xf numFmtId="3" fontId="30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18" borderId="47" xfId="0" applyFont="1" applyFill="1" applyBorder="1" applyAlignment="1" applyProtection="1">
      <alignment wrapText="1"/>
      <protection locked="0"/>
    </xf>
    <xf numFmtId="0" fontId="30" fillId="18" borderId="47" xfId="0" applyFont="1" applyFill="1" applyBorder="1" applyAlignment="1" applyProtection="1">
      <alignment horizontal="center" wrapText="1"/>
      <protection locked="0"/>
    </xf>
    <xf numFmtId="0" fontId="30" fillId="18" borderId="80" xfId="0" applyFont="1" applyFill="1" applyBorder="1" applyAlignment="1" applyProtection="1">
      <alignment wrapText="1"/>
      <protection locked="0"/>
    </xf>
    <xf numFmtId="3" fontId="0" fillId="18" borderId="0" xfId="0" applyNumberFormat="1" applyFill="1" applyAlignment="1">
      <alignment horizontal="center"/>
    </xf>
    <xf numFmtId="3" fontId="0" fillId="0" borderId="40" xfId="0" applyNumberFormat="1" applyBorder="1" applyAlignment="1">
      <alignment horizontal="center" vertical="center"/>
    </xf>
    <xf numFmtId="3" fontId="0" fillId="0" borderId="67" xfId="0" applyNumberFormat="1" applyBorder="1" applyAlignment="1">
      <alignment horizontal="center" vertical="center"/>
    </xf>
    <xf numFmtId="3" fontId="0" fillId="18" borderId="14" xfId="0" applyNumberFormat="1" applyFill="1" applyBorder="1" applyAlignment="1">
      <alignment horizontal="center" vertical="center"/>
    </xf>
    <xf numFmtId="3" fontId="0" fillId="18" borderId="61" xfId="0" applyNumberFormat="1" applyFill="1" applyBorder="1" applyAlignment="1">
      <alignment horizontal="center" vertical="center"/>
    </xf>
    <xf numFmtId="3" fontId="0" fillId="18" borderId="65" xfId="0" applyNumberFormat="1" applyFill="1" applyBorder="1" applyAlignment="1">
      <alignment horizontal="center" vertical="center"/>
    </xf>
    <xf numFmtId="3" fontId="0" fillId="18" borderId="58" xfId="0" applyNumberFormat="1" applyFill="1" applyBorder="1" applyAlignment="1">
      <alignment horizontal="center" vertical="center"/>
    </xf>
    <xf numFmtId="3" fontId="0" fillId="18" borderId="44" xfId="0" applyNumberFormat="1" applyFill="1" applyBorder="1" applyAlignment="1">
      <alignment horizontal="center" vertical="center"/>
    </xf>
    <xf numFmtId="3" fontId="0" fillId="18" borderId="60" xfId="0" applyNumberFormat="1" applyFill="1" applyBorder="1" applyAlignment="1">
      <alignment horizontal="center" vertical="center"/>
    </xf>
    <xf numFmtId="3" fontId="0" fillId="18" borderId="63" xfId="0" applyNumberFormat="1" applyFill="1" applyBorder="1" applyAlignment="1">
      <alignment horizontal="center" vertical="center"/>
    </xf>
    <xf numFmtId="3" fontId="0" fillId="18" borderId="40" xfId="0" applyNumberFormat="1" applyFill="1" applyBorder="1" applyAlignment="1">
      <alignment horizontal="center" vertical="center"/>
    </xf>
    <xf numFmtId="3" fontId="0" fillId="18" borderId="67" xfId="0" applyNumberFormat="1" applyFill="1" applyBorder="1" applyAlignment="1">
      <alignment horizontal="center" vertical="center"/>
    </xf>
    <xf numFmtId="3" fontId="0" fillId="18" borderId="68" xfId="0" applyNumberFormat="1" applyFill="1" applyBorder="1" applyAlignment="1">
      <alignment horizontal="center" vertical="center"/>
    </xf>
    <xf numFmtId="3" fontId="0" fillId="18" borderId="69" xfId="0" applyNumberFormat="1" applyFill="1" applyBorder="1" applyAlignment="1">
      <alignment horizontal="center" vertical="center"/>
    </xf>
    <xf numFmtId="3" fontId="0" fillId="18" borderId="39" xfId="0" applyNumberFormat="1" applyFill="1" applyBorder="1" applyAlignment="1">
      <alignment horizontal="center" vertical="center"/>
    </xf>
    <xf numFmtId="3" fontId="50" fillId="9" borderId="39" xfId="0" applyNumberFormat="1" applyFont="1" applyFill="1" applyBorder="1" applyAlignment="1">
      <alignment horizontal="center"/>
    </xf>
    <xf numFmtId="3" fontId="50" fillId="9" borderId="58" xfId="0" applyNumberFormat="1" applyFont="1" applyFill="1" applyBorder="1" applyAlignment="1">
      <alignment horizontal="center"/>
    </xf>
    <xf numFmtId="3" fontId="50" fillId="9" borderId="59" xfId="0" applyNumberFormat="1" applyFont="1" applyFill="1" applyBorder="1" applyAlignment="1">
      <alignment horizontal="center"/>
    </xf>
    <xf numFmtId="3" fontId="0" fillId="0" borderId="81" xfId="0" applyNumberFormat="1" applyBorder="1" applyAlignment="1">
      <alignment horizontal="center" vertical="center"/>
    </xf>
    <xf numFmtId="3" fontId="50" fillId="9" borderId="39" xfId="0" applyNumberFormat="1" applyFont="1" applyFill="1" applyBorder="1" applyAlignment="1">
      <alignment horizontal="center" wrapText="1"/>
    </xf>
    <xf numFmtId="3" fontId="50" fillId="9" borderId="37" xfId="0" applyNumberFormat="1" applyFont="1" applyFill="1" applyBorder="1" applyAlignment="1">
      <alignment horizontal="center" wrapText="1"/>
    </xf>
    <xf numFmtId="3" fontId="50" fillId="9" borderId="33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 vertical="center"/>
    </xf>
    <xf numFmtId="3" fontId="26" fillId="0" borderId="75" xfId="0" applyNumberFormat="1" applyFont="1" applyBorder="1" applyAlignment="1">
      <alignment horizontal="center"/>
    </xf>
    <xf numFmtId="3" fontId="58" fillId="8" borderId="2" xfId="0" applyNumberFormat="1" applyFont="1" applyFill="1" applyBorder="1" applyAlignment="1">
      <alignment horizontal="center" vertical="center" wrapText="1"/>
    </xf>
    <xf numFmtId="3" fontId="39" fillId="0" borderId="51" xfId="0" applyNumberFormat="1" applyFont="1" applyBorder="1" applyAlignment="1">
      <alignment horizontal="center" vertical="center" textRotation="90"/>
    </xf>
    <xf numFmtId="3" fontId="39" fillId="0" borderId="52" xfId="0" applyNumberFormat="1" applyFont="1" applyBorder="1" applyAlignment="1">
      <alignment horizontal="center" vertical="center"/>
    </xf>
    <xf numFmtId="3" fontId="39" fillId="0" borderId="52" xfId="0" applyNumberFormat="1" applyFont="1" applyBorder="1" applyAlignment="1">
      <alignment horizontal="center" vertical="center" textRotation="90" wrapText="1"/>
    </xf>
    <xf numFmtId="3" fontId="39" fillId="0" borderId="53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39" fillId="0" borderId="104" xfId="0" applyNumberFormat="1" applyFont="1" applyBorder="1" applyAlignment="1">
      <alignment horizontal="center" vertical="center" textRotation="90" wrapText="1"/>
    </xf>
    <xf numFmtId="3" fontId="37" fillId="18" borderId="65" xfId="0" applyNumberFormat="1" applyFont="1" applyFill="1" applyBorder="1" applyAlignment="1">
      <alignment horizontal="center" vertical="center"/>
    </xf>
    <xf numFmtId="3" fontId="37" fillId="18" borderId="35" xfId="0" applyNumberFormat="1" applyFont="1" applyFill="1" applyBorder="1" applyAlignment="1">
      <alignment horizontal="center" vertical="center"/>
    </xf>
    <xf numFmtId="3" fontId="37" fillId="18" borderId="61" xfId="0" applyNumberFormat="1" applyFont="1" applyFill="1" applyBorder="1" applyAlignment="1">
      <alignment horizontal="center" vertical="center"/>
    </xf>
    <xf numFmtId="3" fontId="37" fillId="18" borderId="58" xfId="0" applyNumberFormat="1" applyFont="1" applyFill="1" applyBorder="1" applyAlignment="1">
      <alignment horizontal="center" vertical="center"/>
    </xf>
    <xf numFmtId="3" fontId="37" fillId="18" borderId="33" xfId="0" applyNumberFormat="1" applyFont="1" applyFill="1" applyBorder="1" applyAlignment="1">
      <alignment horizontal="center" vertical="center"/>
    </xf>
    <xf numFmtId="3" fontId="39" fillId="0" borderId="0" xfId="0" applyNumberFormat="1" applyFont="1" applyAlignment="1">
      <alignment horizontal="center" wrapText="1"/>
    </xf>
    <xf numFmtId="3" fontId="37" fillId="18" borderId="1" xfId="0" applyNumberFormat="1" applyFont="1" applyFill="1" applyBorder="1" applyAlignment="1">
      <alignment horizontal="center" vertical="center"/>
    </xf>
    <xf numFmtId="3" fontId="37" fillId="18" borderId="105" xfId="0" applyNumberFormat="1" applyFont="1" applyFill="1" applyBorder="1" applyAlignment="1">
      <alignment horizontal="center" vertical="center"/>
    </xf>
    <xf numFmtId="3" fontId="0" fillId="0" borderId="65" xfId="0" applyNumberFormat="1" applyBorder="1" applyAlignment="1">
      <alignment horizontal="center" vertical="center"/>
    </xf>
    <xf numFmtId="3" fontId="0" fillId="0" borderId="58" xfId="0" applyNumberFormat="1" applyBorder="1" applyAlignment="1">
      <alignment horizontal="center" vertical="center"/>
    </xf>
    <xf numFmtId="3" fontId="0" fillId="18" borderId="46" xfId="0" applyNumberForma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40" fillId="18" borderId="5" xfId="0" applyFont="1" applyFill="1" applyBorder="1" applyAlignment="1" applyProtection="1">
      <alignment vertical="center" wrapText="1"/>
      <protection locked="0"/>
    </xf>
    <xf numFmtId="169" fontId="25" fillId="19" borderId="0" xfId="4" applyNumberFormat="1" applyFont="1" applyFill="1" applyAlignment="1" applyProtection="1">
      <alignment horizontal="center" vertical="center"/>
      <protection locked="0"/>
    </xf>
    <xf numFmtId="172" fontId="47" fillId="19" borderId="0" xfId="0" applyNumberFormat="1" applyFont="1" applyFill="1" applyAlignment="1">
      <alignment horizontal="center" vertical="center"/>
    </xf>
    <xf numFmtId="172" fontId="38" fillId="19" borderId="0" xfId="0" applyNumberFormat="1" applyFont="1" applyFill="1" applyAlignment="1">
      <alignment horizontal="center"/>
    </xf>
    <xf numFmtId="172" fontId="38" fillId="19" borderId="29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0" fillId="20" borderId="0" xfId="0" applyFill="1"/>
    <xf numFmtId="169" fontId="0" fillId="0" borderId="0" xfId="4" applyNumberFormat="1" applyFont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vertical="center"/>
    </xf>
    <xf numFmtId="0" fontId="61" fillId="0" borderId="1" xfId="0" applyFont="1" applyBorder="1" applyAlignment="1">
      <alignment vertical="center" wrapText="1"/>
    </xf>
    <xf numFmtId="0" fontId="62" fillId="0" borderId="0" xfId="0" applyFont="1"/>
    <xf numFmtId="3" fontId="61" fillId="0" borderId="1" xfId="0" applyNumberFormat="1" applyFont="1" applyBorder="1" applyAlignment="1">
      <alignment horizontal="center" vertical="center" wrapText="1"/>
    </xf>
    <xf numFmtId="0" fontId="60" fillId="0" borderId="54" xfId="0" applyFont="1" applyBorder="1" applyAlignment="1">
      <alignment vertical="center"/>
    </xf>
    <xf numFmtId="3" fontId="60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17" fontId="60" fillId="10" borderId="54" xfId="0" quotePrefix="1" applyNumberFormat="1" applyFont="1" applyFill="1" applyBorder="1" applyAlignment="1">
      <alignment vertical="center"/>
    </xf>
    <xf numFmtId="0" fontId="0" fillId="0" borderId="1" xfId="0" applyBorder="1"/>
    <xf numFmtId="3" fontId="60" fillId="17" borderId="1" xfId="0" applyNumberFormat="1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vertical="center"/>
    </xf>
    <xf numFmtId="0" fontId="4" fillId="3" borderId="86" xfId="0" applyFont="1" applyFill="1" applyBorder="1" applyAlignment="1">
      <alignment vertical="center"/>
    </xf>
    <xf numFmtId="0" fontId="4" fillId="3" borderId="87" xfId="0" applyFont="1" applyFill="1" applyBorder="1" applyAlignment="1">
      <alignment vertical="center"/>
    </xf>
    <xf numFmtId="9" fontId="1" fillId="10" borderId="1" xfId="4" applyFont="1" applyFill="1" applyBorder="1" applyAlignment="1" applyProtection="1">
      <alignment horizontal="center" vertical="center"/>
      <protection locked="0"/>
    </xf>
    <xf numFmtId="17" fontId="60" fillId="0" borderId="54" xfId="0" quotePrefix="1" applyNumberFormat="1" applyFont="1" applyBorder="1" applyAlignment="1">
      <alignment vertical="center"/>
    </xf>
    <xf numFmtId="174" fontId="35" fillId="0" borderId="0" xfId="4" applyNumberFormat="1" applyFont="1" applyProtection="1"/>
    <xf numFmtId="175" fontId="35" fillId="0" borderId="0" xfId="0" applyNumberFormat="1" applyFont="1"/>
    <xf numFmtId="0" fontId="0" fillId="4" borderId="106" xfId="0" applyFill="1" applyBorder="1"/>
    <xf numFmtId="0" fontId="2" fillId="4" borderId="91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right" vertical="center"/>
    </xf>
    <xf numFmtId="169" fontId="38" fillId="19" borderId="54" xfId="4" applyNumberFormat="1" applyFont="1" applyFill="1" applyBorder="1" applyAlignment="1" applyProtection="1">
      <alignment horizontal="center"/>
    </xf>
    <xf numFmtId="0" fontId="0" fillId="4" borderId="28" xfId="0" applyFill="1" applyBorder="1"/>
    <xf numFmtId="49" fontId="2" fillId="4" borderId="0" xfId="0" applyNumberFormat="1" applyFont="1" applyFill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7" fillId="8" borderId="10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center" vertical="center"/>
    </xf>
    <xf numFmtId="167" fontId="7" fillId="8" borderId="2" xfId="0" applyNumberFormat="1" applyFont="1" applyFill="1" applyBorder="1" applyAlignment="1">
      <alignment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/>
    </xf>
    <xf numFmtId="167" fontId="7" fillId="8" borderId="4" xfId="0" applyNumberFormat="1" applyFont="1" applyFill="1" applyBorder="1" applyAlignment="1">
      <alignment vertical="center"/>
    </xf>
    <xf numFmtId="0" fontId="7" fillId="8" borderId="15" xfId="0" applyFont="1" applyFill="1" applyBorder="1" applyAlignment="1">
      <alignment horizontal="left" vertical="center"/>
    </xf>
    <xf numFmtId="0" fontId="7" fillId="8" borderId="16" xfId="0" applyFont="1" applyFill="1" applyBorder="1" applyAlignment="1">
      <alignment horizontal="left" vertical="center"/>
    </xf>
    <xf numFmtId="0" fontId="7" fillId="8" borderId="16" xfId="0" applyFont="1" applyFill="1" applyBorder="1" applyAlignment="1">
      <alignment horizontal="center" vertical="center"/>
    </xf>
    <xf numFmtId="167" fontId="7" fillId="8" borderId="6" xfId="0" applyNumberFormat="1" applyFont="1" applyFill="1" applyBorder="1" applyAlignment="1">
      <alignment vertical="center"/>
    </xf>
    <xf numFmtId="9" fontId="7" fillId="8" borderId="16" xfId="0" applyNumberFormat="1" applyFont="1" applyFill="1" applyBorder="1" applyAlignment="1">
      <alignment horizontal="center" vertical="center"/>
    </xf>
    <xf numFmtId="167" fontId="4" fillId="8" borderId="48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67" fontId="1" fillId="0" borderId="20" xfId="3" applyNumberFormat="1" applyFont="1" applyBorder="1" applyAlignment="1" applyProtection="1">
      <alignment vertical="center"/>
      <protection locked="0"/>
    </xf>
    <xf numFmtId="167" fontId="1" fillId="2" borderId="6" xfId="0" applyNumberFormat="1" applyFont="1" applyFill="1" applyBorder="1" applyAlignment="1">
      <alignment vertical="center"/>
    </xf>
    <xf numFmtId="176" fontId="35" fillId="0" borderId="0" xfId="1" applyNumberFormat="1" applyFont="1" applyProtection="1"/>
    <xf numFmtId="176" fontId="35" fillId="0" borderId="0" xfId="0" applyNumberFormat="1" applyFont="1"/>
    <xf numFmtId="164" fontId="12" fillId="7" borderId="103" xfId="5" applyNumberFormat="1" applyFont="1" applyFill="1" applyBorder="1"/>
    <xf numFmtId="0" fontId="65" fillId="22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51" fillId="4" borderId="28" xfId="0" applyFont="1" applyFill="1" applyBorder="1" applyAlignment="1">
      <alignment horizontal="center"/>
    </xf>
    <xf numFmtId="0" fontId="51" fillId="4" borderId="0" xfId="0" applyFont="1" applyFill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6" fillId="0" borderId="2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18" borderId="17" xfId="0" applyFont="1" applyFill="1" applyBorder="1" applyAlignment="1" applyProtection="1">
      <alignment horizontal="center" vertical="center" wrapText="1"/>
      <protection locked="0"/>
    </xf>
    <xf numFmtId="0" fontId="2" fillId="18" borderId="31" xfId="0" applyFont="1" applyFill="1" applyBorder="1" applyAlignment="1" applyProtection="1">
      <alignment horizontal="center" vertical="center" wrapText="1"/>
      <protection locked="0"/>
    </xf>
    <xf numFmtId="0" fontId="3" fillId="0" borderId="82" xfId="0" applyFont="1" applyBorder="1" applyAlignment="1">
      <alignment horizontal="right" vertical="center" wrapText="1"/>
    </xf>
    <xf numFmtId="0" fontId="3" fillId="0" borderId="73" xfId="0" applyFont="1" applyBorder="1" applyAlignment="1">
      <alignment horizontal="right" vertical="center" wrapText="1"/>
    </xf>
    <xf numFmtId="49" fontId="2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2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2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48" fillId="8" borderId="10" xfId="0" applyFont="1" applyFill="1" applyBorder="1" applyAlignment="1">
      <alignment horizontal="center" vertical="center" wrapText="1"/>
    </xf>
    <xf numFmtId="0" fontId="48" fillId="8" borderId="47" xfId="0" applyFont="1" applyFill="1" applyBorder="1" applyAlignment="1">
      <alignment horizontal="center" vertical="center" wrapText="1"/>
    </xf>
    <xf numFmtId="0" fontId="4" fillId="3" borderId="107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/>
    </xf>
    <xf numFmtId="0" fontId="27" fillId="3" borderId="47" xfId="0" applyFont="1" applyFill="1" applyBorder="1" applyAlignment="1">
      <alignment horizontal="center"/>
    </xf>
    <xf numFmtId="49" fontId="27" fillId="3" borderId="10" xfId="0" applyNumberFormat="1" applyFont="1" applyFill="1" applyBorder="1" applyAlignment="1">
      <alignment horizontal="center" vertical="center"/>
    </xf>
    <xf numFmtId="49" fontId="27" fillId="3" borderId="47" xfId="0" applyNumberFormat="1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 wrapText="1"/>
    </xf>
    <xf numFmtId="0" fontId="27" fillId="3" borderId="4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/>
    </xf>
    <xf numFmtId="49" fontId="1" fillId="0" borderId="47" xfId="0" applyNumberFormat="1" applyFont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4" fillId="8" borderId="85" xfId="0" applyFont="1" applyFill="1" applyBorder="1" applyAlignment="1">
      <alignment horizontal="center" vertical="center"/>
    </xf>
    <xf numFmtId="0" fontId="4" fillId="8" borderId="86" xfId="0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" fontId="1" fillId="3" borderId="83" xfId="0" applyNumberFormat="1" applyFont="1" applyFill="1" applyBorder="1" applyAlignment="1">
      <alignment horizontal="center" vertical="center"/>
    </xf>
    <xf numFmtId="1" fontId="1" fillId="3" borderId="84" xfId="0" applyNumberFormat="1" applyFont="1" applyFill="1" applyBorder="1" applyAlignment="1">
      <alignment horizontal="center" vertical="center"/>
    </xf>
    <xf numFmtId="1" fontId="1" fillId="3" borderId="93" xfId="0" applyNumberFormat="1" applyFont="1" applyFill="1" applyBorder="1" applyAlignment="1">
      <alignment horizontal="center" vertical="center"/>
    </xf>
    <xf numFmtId="0" fontId="27" fillId="3" borderId="82" xfId="0" applyFont="1" applyFill="1" applyBorder="1" applyAlignment="1">
      <alignment horizontal="center" vertical="center"/>
    </xf>
    <xf numFmtId="0" fontId="27" fillId="3" borderId="73" xfId="0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left" vertical="center"/>
    </xf>
    <xf numFmtId="3" fontId="1" fillId="0" borderId="47" xfId="0" applyNumberFormat="1" applyFont="1" applyBorder="1" applyAlignment="1">
      <alignment horizontal="left" vertical="center"/>
    </xf>
    <xf numFmtId="0" fontId="39" fillId="0" borderId="0" xfId="0" applyFont="1" applyAlignment="1" applyProtection="1">
      <alignment horizontal="center" vertical="center" wrapText="1"/>
      <protection locked="0"/>
    </xf>
    <xf numFmtId="3" fontId="28" fillId="3" borderId="88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89" xfId="0" applyFont="1" applyFill="1" applyBorder="1" applyAlignment="1" applyProtection="1">
      <alignment horizontal="center" vertical="center" wrapText="1"/>
      <protection locked="0"/>
    </xf>
    <xf numFmtId="3" fontId="28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11" xfId="0" applyFont="1" applyFill="1" applyBorder="1" applyAlignment="1" applyProtection="1">
      <alignment horizontal="center" vertical="center" wrapText="1"/>
      <protection locked="0"/>
    </xf>
    <xf numFmtId="0" fontId="28" fillId="3" borderId="61" xfId="0" applyFont="1" applyFill="1" applyBorder="1" applyAlignment="1" applyProtection="1">
      <alignment horizontal="center" vertical="center" wrapText="1"/>
      <protection locked="0"/>
    </xf>
    <xf numFmtId="0" fontId="28" fillId="3" borderId="14" xfId="0" applyFont="1" applyFill="1" applyBorder="1" applyAlignment="1" applyProtection="1">
      <alignment horizontal="center" vertical="center" wrapText="1"/>
      <protection locked="0"/>
    </xf>
    <xf numFmtId="0" fontId="28" fillId="3" borderId="90" xfId="0" applyFont="1" applyFill="1" applyBorder="1" applyAlignment="1" applyProtection="1">
      <alignment horizontal="center" vertical="center" wrapText="1"/>
      <protection locked="0"/>
    </xf>
    <xf numFmtId="0" fontId="28" fillId="3" borderId="13" xfId="0" applyFont="1" applyFill="1" applyBorder="1" applyAlignment="1" applyProtection="1">
      <alignment horizontal="center" vertical="center" wrapText="1"/>
      <protection locked="0"/>
    </xf>
    <xf numFmtId="0" fontId="43" fillId="3" borderId="30" xfId="0" applyFont="1" applyFill="1" applyBorder="1" applyAlignment="1" applyProtection="1">
      <alignment horizontal="left" vertical="center" wrapText="1"/>
      <protection locked="0"/>
    </xf>
    <xf numFmtId="0" fontId="43" fillId="3" borderId="17" xfId="0" applyFont="1" applyFill="1" applyBorder="1" applyAlignment="1" applyProtection="1">
      <alignment horizontal="left" vertical="center" wrapText="1"/>
      <protection locked="0"/>
    </xf>
    <xf numFmtId="0" fontId="43" fillId="3" borderId="31" xfId="0" applyFont="1" applyFill="1" applyBorder="1" applyAlignment="1" applyProtection="1">
      <alignment horizontal="left" vertical="center" wrapText="1"/>
      <protection locked="0"/>
    </xf>
    <xf numFmtId="0" fontId="43" fillId="3" borderId="91" xfId="0" applyFont="1" applyFill="1" applyBorder="1" applyAlignment="1" applyProtection="1">
      <alignment horizontal="left" vertical="center" wrapText="1"/>
      <protection locked="0"/>
    </xf>
    <xf numFmtId="0" fontId="43" fillId="3" borderId="54" xfId="0" applyFont="1" applyFill="1" applyBorder="1" applyAlignment="1" applyProtection="1">
      <alignment horizontal="left" vertical="center" wrapText="1"/>
      <protection locked="0"/>
    </xf>
    <xf numFmtId="0" fontId="43" fillId="3" borderId="3" xfId="0" applyFont="1" applyFill="1" applyBorder="1" applyAlignment="1" applyProtection="1">
      <alignment horizontal="left" vertical="center" wrapText="1"/>
      <protection locked="0"/>
    </xf>
    <xf numFmtId="0" fontId="23" fillId="3" borderId="30" xfId="0" applyFont="1" applyFill="1" applyBorder="1" applyAlignment="1" applyProtection="1">
      <alignment horizontal="center" vertical="center" wrapText="1"/>
      <protection locked="0"/>
    </xf>
    <xf numFmtId="0" fontId="23" fillId="3" borderId="17" xfId="0" applyFont="1" applyFill="1" applyBorder="1" applyAlignment="1" applyProtection="1">
      <alignment horizontal="center" vertical="center" wrapText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4" fillId="18" borderId="28" xfId="0" applyFont="1" applyFill="1" applyBorder="1" applyAlignment="1" applyProtection="1">
      <alignment horizontal="center" vertical="center" wrapText="1"/>
      <protection locked="0"/>
    </xf>
    <xf numFmtId="0" fontId="24" fillId="18" borderId="0" xfId="0" applyFont="1" applyFill="1" applyAlignment="1" applyProtection="1">
      <alignment horizontal="center" vertical="center" wrapText="1"/>
      <protection locked="0"/>
    </xf>
    <xf numFmtId="0" fontId="24" fillId="18" borderId="29" xfId="0" applyFont="1" applyFill="1" applyBorder="1" applyAlignment="1" applyProtection="1">
      <alignment horizontal="center" vertical="center" wrapText="1"/>
      <protection locked="0"/>
    </xf>
    <xf numFmtId="0" fontId="43" fillId="3" borderId="28" xfId="0" applyFont="1" applyFill="1" applyBorder="1" applyAlignment="1" applyProtection="1">
      <alignment horizontal="left" vertical="center" wrapText="1"/>
      <protection locked="0"/>
    </xf>
    <xf numFmtId="0" fontId="43" fillId="3" borderId="0" xfId="0" applyFont="1" applyFill="1" applyAlignment="1" applyProtection="1">
      <alignment horizontal="left" vertical="center" wrapText="1"/>
      <protection locked="0"/>
    </xf>
    <xf numFmtId="0" fontId="43" fillId="3" borderId="29" xfId="0" applyFont="1" applyFill="1" applyBorder="1" applyAlignment="1" applyProtection="1">
      <alignment horizontal="left" vertical="center" wrapText="1"/>
      <protection locked="0"/>
    </xf>
    <xf numFmtId="0" fontId="66" fillId="21" borderId="0" xfId="0" applyFont="1" applyFill="1" applyAlignment="1" applyProtection="1">
      <alignment horizontal="center" vertical="center" wrapText="1"/>
      <protection locked="0"/>
    </xf>
    <xf numFmtId="0" fontId="43" fillId="3" borderId="0" xfId="0" applyFont="1" applyFill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0" fillId="0" borderId="2" xfId="0" applyFont="1" applyBorder="1" applyAlignment="1" applyProtection="1">
      <alignment horizontal="center" wrapText="1"/>
      <protection locked="0"/>
    </xf>
    <xf numFmtId="3" fontId="31" fillId="3" borderId="24" xfId="0" applyNumberFormat="1" applyFont="1" applyFill="1" applyBorder="1" applyAlignment="1" applyProtection="1">
      <alignment horizontal="center" wrapText="1"/>
      <protection locked="0"/>
    </xf>
    <xf numFmtId="3" fontId="31" fillId="3" borderId="25" xfId="0" applyNumberFormat="1" applyFont="1" applyFill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left" wrapText="1"/>
      <protection locked="0"/>
    </xf>
    <xf numFmtId="0" fontId="30" fillId="0" borderId="2" xfId="0" applyFont="1" applyBorder="1" applyAlignment="1" applyProtection="1">
      <alignment horizontal="left" wrapText="1"/>
      <protection locked="0"/>
    </xf>
    <xf numFmtId="3" fontId="30" fillId="0" borderId="7" xfId="0" applyNumberFormat="1" applyFont="1" applyBorder="1" applyAlignment="1" applyProtection="1">
      <alignment horizontal="center" wrapText="1"/>
      <protection locked="0"/>
    </xf>
    <xf numFmtId="3" fontId="30" fillId="0" borderId="2" xfId="0" applyNumberFormat="1" applyFont="1" applyBorder="1" applyAlignment="1" applyProtection="1">
      <alignment horizontal="center" wrapText="1"/>
      <protection locked="0"/>
    </xf>
    <xf numFmtId="0" fontId="30" fillId="18" borderId="7" xfId="0" applyFont="1" applyFill="1" applyBorder="1" applyAlignment="1" applyProtection="1">
      <alignment horizontal="center" wrapText="1"/>
      <protection locked="0"/>
    </xf>
    <xf numFmtId="0" fontId="30" fillId="18" borderId="47" xfId="0" applyFont="1" applyFill="1" applyBorder="1" applyAlignment="1" applyProtection="1">
      <alignment horizontal="center" wrapText="1"/>
      <protection locked="0"/>
    </xf>
    <xf numFmtId="0" fontId="43" fillId="3" borderId="82" xfId="0" applyFont="1" applyFill="1" applyBorder="1" applyAlignment="1" applyProtection="1">
      <alignment horizontal="left" vertical="center" wrapText="1"/>
      <protection locked="0"/>
    </xf>
    <xf numFmtId="0" fontId="43" fillId="3" borderId="84" xfId="0" applyFont="1" applyFill="1" applyBorder="1" applyAlignment="1" applyProtection="1">
      <alignment horizontal="left" vertical="center" wrapText="1"/>
      <protection locked="0"/>
    </xf>
    <xf numFmtId="0" fontId="43" fillId="3" borderId="93" xfId="0" applyFont="1" applyFill="1" applyBorder="1" applyAlignment="1" applyProtection="1">
      <alignment horizontal="left" vertical="center" wrapText="1"/>
      <protection locked="0"/>
    </xf>
    <xf numFmtId="0" fontId="29" fillId="3" borderId="83" xfId="0" applyFont="1" applyFill="1" applyBorder="1" applyAlignment="1" applyProtection="1">
      <alignment horizontal="center" vertical="center" wrapText="1"/>
      <protection locked="0"/>
    </xf>
    <xf numFmtId="0" fontId="29" fillId="3" borderId="93" xfId="0" applyFont="1" applyFill="1" applyBorder="1" applyAlignment="1" applyProtection="1">
      <alignment horizontal="center" vertical="center" wrapText="1"/>
      <protection locked="0"/>
    </xf>
    <xf numFmtId="3" fontId="30" fillId="0" borderId="11" xfId="0" applyNumberFormat="1" applyFont="1" applyBorder="1" applyAlignment="1" applyProtection="1">
      <alignment horizontal="center" wrapText="1"/>
      <protection locked="0"/>
    </xf>
    <xf numFmtId="3" fontId="31" fillId="3" borderId="20" xfId="0" applyNumberFormat="1" applyFont="1" applyFill="1" applyBorder="1" applyAlignment="1" applyProtection="1">
      <alignment horizontal="center" wrapText="1"/>
      <protection locked="0"/>
    </xf>
    <xf numFmtId="3" fontId="31" fillId="3" borderId="21" xfId="0" applyNumberFormat="1" applyFont="1" applyFill="1" applyBorder="1" applyAlignment="1" applyProtection="1">
      <alignment horizontal="center" wrapText="1"/>
      <protection locked="0"/>
    </xf>
    <xf numFmtId="0" fontId="29" fillId="3" borderId="7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30" xfId="0" applyFont="1" applyFill="1" applyBorder="1" applyAlignment="1" applyProtection="1">
      <alignment horizontal="left" wrapText="1"/>
      <protection locked="0"/>
    </xf>
    <xf numFmtId="0" fontId="43" fillId="3" borderId="17" xfId="0" applyFont="1" applyFill="1" applyBorder="1" applyAlignment="1" applyProtection="1">
      <alignment horizontal="left" wrapText="1"/>
      <protection locked="0"/>
    </xf>
    <xf numFmtId="0" fontId="43" fillId="3" borderId="31" xfId="0" applyFont="1" applyFill="1" applyBorder="1" applyAlignment="1" applyProtection="1">
      <alignment horizontal="left" wrapText="1"/>
      <protection locked="0"/>
    </xf>
    <xf numFmtId="0" fontId="29" fillId="3" borderId="7" xfId="0" applyFont="1" applyFill="1" applyBorder="1" applyAlignment="1" applyProtection="1">
      <alignment horizontal="center" wrapText="1"/>
      <protection locked="0"/>
    </xf>
    <xf numFmtId="0" fontId="29" fillId="3" borderId="2" xfId="0" applyFont="1" applyFill="1" applyBorder="1" applyAlignment="1" applyProtection="1">
      <alignment horizontal="center" wrapText="1"/>
      <protection locked="0"/>
    </xf>
    <xf numFmtId="3" fontId="30" fillId="0" borderId="71" xfId="0" applyNumberFormat="1" applyFont="1" applyBorder="1" applyAlignment="1" applyProtection="1">
      <alignment horizontal="center" vertical="center" wrapText="1"/>
      <protection locked="0"/>
    </xf>
    <xf numFmtId="3" fontId="30" fillId="0" borderId="72" xfId="0" applyNumberFormat="1" applyFont="1" applyBorder="1" applyAlignment="1" applyProtection="1">
      <alignment horizontal="center" vertical="center" wrapText="1"/>
      <protection locked="0"/>
    </xf>
    <xf numFmtId="3" fontId="30" fillId="0" borderId="95" xfId="0" applyNumberFormat="1" applyFont="1" applyBorder="1" applyAlignment="1" applyProtection="1">
      <alignment horizontal="center" vertical="center" wrapText="1"/>
      <protection locked="0"/>
    </xf>
    <xf numFmtId="3" fontId="30" fillId="0" borderId="29" xfId="0" applyNumberFormat="1" applyFont="1" applyBorder="1" applyAlignment="1" applyProtection="1">
      <alignment horizontal="center" vertical="center" wrapText="1"/>
      <protection locked="0"/>
    </xf>
    <xf numFmtId="3" fontId="31" fillId="3" borderId="6" xfId="0" applyNumberFormat="1" applyFont="1" applyFill="1" applyBorder="1" applyAlignment="1" applyProtection="1">
      <alignment horizontal="center" wrapText="1"/>
      <protection locked="0"/>
    </xf>
    <xf numFmtId="0" fontId="30" fillId="0" borderId="88" xfId="0" applyFont="1" applyBorder="1" applyAlignment="1" applyProtection="1">
      <alignment horizontal="center" vertical="center" wrapText="1"/>
      <protection locked="0"/>
    </xf>
    <xf numFmtId="0" fontId="30" fillId="0" borderId="94" xfId="0" applyFont="1" applyBorder="1" applyAlignment="1" applyProtection="1">
      <alignment horizontal="center" vertical="center" wrapText="1"/>
      <protection locked="0"/>
    </xf>
    <xf numFmtId="0" fontId="29" fillId="3" borderId="47" xfId="0" applyFont="1" applyFill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47" xfId="0" applyFont="1" applyBorder="1" applyAlignment="1" applyProtection="1">
      <alignment horizontal="center" vertical="center" wrapText="1"/>
      <protection locked="0"/>
    </xf>
    <xf numFmtId="0" fontId="54" fillId="3" borderId="30" xfId="0" applyFont="1" applyFill="1" applyBorder="1" applyAlignment="1" applyProtection="1">
      <alignment horizontal="left" vertical="center" wrapText="1"/>
      <protection locked="0"/>
    </xf>
    <xf numFmtId="0" fontId="54" fillId="3" borderId="17" xfId="0" applyFont="1" applyFill="1" applyBorder="1" applyAlignment="1" applyProtection="1">
      <alignment horizontal="left" vertical="center" wrapText="1"/>
      <protection locked="0"/>
    </xf>
    <xf numFmtId="0" fontId="54" fillId="3" borderId="31" xfId="0" applyFont="1" applyFill="1" applyBorder="1" applyAlignment="1" applyProtection="1">
      <alignment horizontal="left" vertical="center" wrapText="1"/>
      <protection locked="0"/>
    </xf>
    <xf numFmtId="0" fontId="29" fillId="3" borderId="11" xfId="0" applyFont="1" applyFill="1" applyBorder="1" applyAlignment="1" applyProtection="1">
      <alignment horizontal="center" vertical="center" wrapText="1"/>
      <protection locked="0"/>
    </xf>
    <xf numFmtId="0" fontId="29" fillId="3" borderId="90" xfId="0" applyFont="1" applyFill="1" applyBorder="1" applyAlignment="1" applyProtection="1">
      <alignment horizontal="center" vertical="center" wrapText="1"/>
      <protection locked="0"/>
    </xf>
    <xf numFmtId="0" fontId="29" fillId="3" borderId="13" xfId="0" applyFont="1" applyFill="1" applyBorder="1" applyAlignment="1" applyProtection="1">
      <alignment horizontal="center" vertical="center" wrapText="1"/>
      <protection locked="0"/>
    </xf>
    <xf numFmtId="0" fontId="29" fillId="3" borderId="61" xfId="0" applyFont="1" applyFill="1" applyBorder="1" applyAlignment="1" applyProtection="1">
      <alignment horizontal="center" vertical="center" wrapText="1"/>
      <protection locked="0"/>
    </xf>
    <xf numFmtId="0" fontId="29" fillId="3" borderId="14" xfId="0" applyFont="1" applyFill="1" applyBorder="1" applyAlignment="1" applyProtection="1">
      <alignment horizontal="center" vertical="center" wrapText="1"/>
      <protection locked="0"/>
    </xf>
    <xf numFmtId="0" fontId="29" fillId="3" borderId="71" xfId="0" applyFont="1" applyFill="1" applyBorder="1" applyAlignment="1" applyProtection="1">
      <alignment horizontal="center" vertical="center" wrapText="1"/>
      <protection locked="0"/>
    </xf>
    <xf numFmtId="0" fontId="29" fillId="3" borderId="12" xfId="0" applyFont="1" applyFill="1" applyBorder="1" applyAlignment="1" applyProtection="1">
      <alignment horizontal="center" vertical="center" wrapText="1"/>
      <protection locked="0"/>
    </xf>
    <xf numFmtId="0" fontId="29" fillId="3" borderId="72" xfId="0" applyFont="1" applyFill="1" applyBorder="1" applyAlignment="1" applyProtection="1">
      <alignment horizontal="center" vertical="center" wrapText="1"/>
      <protection locked="0"/>
    </xf>
    <xf numFmtId="0" fontId="29" fillId="3" borderId="92" xfId="0" applyFont="1" applyFill="1" applyBorder="1" applyAlignment="1" applyProtection="1">
      <alignment horizontal="center" vertical="center" wrapText="1"/>
      <protection locked="0"/>
    </xf>
    <xf numFmtId="0" fontId="29" fillId="3" borderId="54" xfId="0" applyFont="1" applyFill="1" applyBorder="1" applyAlignment="1" applyProtection="1">
      <alignment horizontal="center" vertical="center" wrapText="1"/>
      <protection locked="0"/>
    </xf>
    <xf numFmtId="0" fontId="29" fillId="3" borderId="3" xfId="0" applyFont="1" applyFill="1" applyBorder="1" applyAlignment="1" applyProtection="1">
      <alignment horizontal="center" vertical="center" wrapText="1"/>
      <protection locked="0"/>
    </xf>
    <xf numFmtId="0" fontId="29" fillId="3" borderId="88" xfId="0" applyFont="1" applyFill="1" applyBorder="1" applyAlignment="1" applyProtection="1">
      <alignment horizontal="center" vertical="center" wrapText="1"/>
      <protection locked="0"/>
    </xf>
    <xf numFmtId="0" fontId="29" fillId="3" borderId="89" xfId="0" applyFont="1" applyFill="1" applyBorder="1" applyAlignment="1" applyProtection="1">
      <alignment horizontal="center" vertical="center" wrapText="1"/>
      <protection locked="0"/>
    </xf>
    <xf numFmtId="0" fontId="53" fillId="3" borderId="0" xfId="0" applyFont="1" applyFill="1" applyAlignment="1" applyProtection="1">
      <alignment horizontal="center" vertical="center" wrapText="1"/>
      <protection locked="0"/>
    </xf>
    <xf numFmtId="3" fontId="30" fillId="0" borderId="7" xfId="0" applyNumberFormat="1" applyFont="1" applyBorder="1" applyAlignment="1" applyProtection="1">
      <alignment wrapText="1"/>
      <protection locked="0"/>
    </xf>
    <xf numFmtId="3" fontId="30" fillId="0" borderId="11" xfId="0" applyNumberFormat="1" applyFont="1" applyBorder="1" applyAlignment="1" applyProtection="1">
      <alignment wrapText="1"/>
      <protection locked="0"/>
    </xf>
    <xf numFmtId="3" fontId="30" fillId="0" borderId="2" xfId="0" applyNumberFormat="1" applyFont="1" applyBorder="1" applyAlignment="1" applyProtection="1">
      <alignment wrapText="1"/>
      <protection locked="0"/>
    </xf>
    <xf numFmtId="3" fontId="26" fillId="9" borderId="40" xfId="0" applyNumberFormat="1" applyFont="1" applyFill="1" applyBorder="1" applyAlignment="1">
      <alignment horizontal="center"/>
    </xf>
    <xf numFmtId="3" fontId="26" fillId="9" borderId="35" xfId="0" applyNumberFormat="1" applyFont="1" applyFill="1" applyBorder="1" applyAlignment="1">
      <alignment horizontal="center"/>
    </xf>
    <xf numFmtId="3" fontId="26" fillId="9" borderId="36" xfId="0" applyNumberFormat="1" applyFont="1" applyFill="1" applyBorder="1" applyAlignment="1">
      <alignment horizontal="center"/>
    </xf>
    <xf numFmtId="3" fontId="26" fillId="9" borderId="96" xfId="0" applyNumberFormat="1" applyFont="1" applyFill="1" applyBorder="1" applyAlignment="1">
      <alignment horizontal="center"/>
    </xf>
    <xf numFmtId="3" fontId="26" fillId="0" borderId="0" xfId="0" applyNumberFormat="1" applyFont="1" applyAlignment="1">
      <alignment horizontal="center"/>
    </xf>
    <xf numFmtId="3" fontId="26" fillId="0" borderId="97" xfId="0" applyNumberFormat="1" applyFont="1" applyBorder="1" applyAlignment="1">
      <alignment horizontal="center"/>
    </xf>
    <xf numFmtId="3" fontId="26" fillId="0" borderId="98" xfId="0" applyNumberFormat="1" applyFont="1" applyBorder="1" applyAlignment="1">
      <alignment horizontal="center"/>
    </xf>
    <xf numFmtId="3" fontId="26" fillId="0" borderId="99" xfId="0" applyNumberFormat="1" applyFont="1" applyBorder="1" applyAlignment="1">
      <alignment horizontal="center"/>
    </xf>
    <xf numFmtId="3" fontId="50" fillId="0" borderId="40" xfId="0" applyNumberFormat="1" applyFont="1" applyBorder="1" applyAlignment="1">
      <alignment horizontal="center" vertical="center" wrapText="1"/>
    </xf>
    <xf numFmtId="3" fontId="50" fillId="0" borderId="39" xfId="0" applyNumberFormat="1" applyFont="1" applyBorder="1" applyAlignment="1">
      <alignment horizontal="center" vertical="center" wrapText="1"/>
    </xf>
    <xf numFmtId="3" fontId="50" fillId="0" borderId="65" xfId="0" applyNumberFormat="1" applyFont="1" applyBorder="1" applyAlignment="1">
      <alignment horizontal="center" vertical="center" wrapText="1"/>
    </xf>
    <xf numFmtId="3" fontId="50" fillId="0" borderId="58" xfId="0" applyNumberFormat="1" applyFont="1" applyBorder="1" applyAlignment="1">
      <alignment horizontal="center" vertical="center" wrapText="1"/>
    </xf>
    <xf numFmtId="3" fontId="50" fillId="0" borderId="35" xfId="0" applyNumberFormat="1" applyFont="1" applyBorder="1" applyAlignment="1">
      <alignment horizontal="center" vertical="center" wrapText="1"/>
    </xf>
    <xf numFmtId="3" fontId="50" fillId="0" borderId="33" xfId="0" applyNumberFormat="1" applyFont="1" applyBorder="1" applyAlignment="1">
      <alignment horizontal="center" vertical="center" wrapText="1"/>
    </xf>
    <xf numFmtId="3" fontId="26" fillId="9" borderId="36" xfId="0" applyNumberFormat="1" applyFont="1" applyFill="1" applyBorder="1" applyAlignment="1">
      <alignment horizontal="center" wrapText="1"/>
    </xf>
    <xf numFmtId="3" fontId="26" fillId="9" borderId="42" xfId="0" applyNumberFormat="1" applyFont="1" applyFill="1" applyBorder="1" applyAlignment="1">
      <alignment horizontal="center" wrapText="1"/>
    </xf>
    <xf numFmtId="3" fontId="26" fillId="9" borderId="66" xfId="0" applyNumberFormat="1" applyFont="1" applyFill="1" applyBorder="1" applyAlignment="1">
      <alignment horizontal="center"/>
    </xf>
    <xf numFmtId="3" fontId="26" fillId="9" borderId="36" xfId="0" applyNumberFormat="1" applyFont="1" applyFill="1" applyBorder="1" applyAlignment="1">
      <alignment horizontal="center" vertical="center"/>
    </xf>
    <xf numFmtId="3" fontId="26" fillId="9" borderId="42" xfId="0" applyNumberFormat="1" applyFont="1" applyFill="1" applyBorder="1" applyAlignment="1">
      <alignment horizontal="center" vertical="center"/>
    </xf>
    <xf numFmtId="0" fontId="65" fillId="21" borderId="0" xfId="0" applyFont="1" applyFill="1" applyAlignment="1">
      <alignment horizontal="center" vertical="center" wrapText="1"/>
    </xf>
    <xf numFmtId="3" fontId="55" fillId="0" borderId="45" xfId="0" applyNumberFormat="1" applyFont="1" applyBorder="1" applyAlignment="1">
      <alignment horizontal="center"/>
    </xf>
    <xf numFmtId="3" fontId="55" fillId="0" borderId="74" xfId="0" applyNumberFormat="1" applyFont="1" applyBorder="1" applyAlignment="1">
      <alignment horizontal="center"/>
    </xf>
    <xf numFmtId="3" fontId="55" fillId="0" borderId="75" xfId="0" applyNumberFormat="1" applyFont="1" applyBorder="1" applyAlignment="1">
      <alignment horizontal="center"/>
    </xf>
    <xf numFmtId="3" fontId="26" fillId="0" borderId="45" xfId="0" applyNumberFormat="1" applyFont="1" applyBorder="1" applyAlignment="1">
      <alignment horizontal="center"/>
    </xf>
    <xf numFmtId="3" fontId="26" fillId="0" borderId="74" xfId="0" applyNumberFormat="1" applyFont="1" applyBorder="1" applyAlignment="1">
      <alignment horizontal="center"/>
    </xf>
    <xf numFmtId="3" fontId="26" fillId="0" borderId="75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66" fillId="21" borderId="0" xfId="0" applyFont="1" applyFill="1" applyAlignment="1">
      <alignment horizontal="center" vertical="center"/>
    </xf>
    <xf numFmtId="0" fontId="59" fillId="18" borderId="97" xfId="0" applyFont="1" applyFill="1" applyBorder="1" applyAlignment="1" applyProtection="1">
      <alignment horizontal="center" vertical="center" wrapText="1"/>
      <protection locked="0"/>
    </xf>
    <xf numFmtId="0" fontId="59" fillId="18" borderId="60" xfId="0" applyFont="1" applyFill="1" applyBorder="1" applyAlignment="1" applyProtection="1">
      <alignment horizontal="center" vertical="center" wrapText="1"/>
      <protection locked="0"/>
    </xf>
    <xf numFmtId="0" fontId="59" fillId="18" borderId="67" xfId="0" applyFont="1" applyFill="1" applyBorder="1" applyAlignment="1" applyProtection="1">
      <alignment horizontal="center" vertical="center" wrapText="1"/>
      <protection locked="0"/>
    </xf>
    <xf numFmtId="0" fontId="39" fillId="18" borderId="97" xfId="0" applyFont="1" applyFill="1" applyBorder="1" applyAlignment="1" applyProtection="1">
      <alignment horizontal="center" vertical="center" wrapText="1"/>
      <protection locked="0"/>
    </xf>
    <xf numFmtId="0" fontId="39" fillId="18" borderId="60" xfId="0" applyFont="1" applyFill="1" applyBorder="1" applyAlignment="1" applyProtection="1">
      <alignment horizontal="center" vertical="center" wrapText="1"/>
      <protection locked="0"/>
    </xf>
    <xf numFmtId="0" fontId="39" fillId="18" borderId="67" xfId="0" applyFont="1" applyFill="1" applyBorder="1" applyAlignment="1" applyProtection="1">
      <alignment horizontal="center" vertical="center" wrapText="1"/>
      <protection locked="0"/>
    </xf>
    <xf numFmtId="0" fontId="56" fillId="3" borderId="0" xfId="0" applyFont="1" applyFill="1" applyAlignment="1" applyProtection="1">
      <alignment horizontal="center"/>
      <protection locked="0"/>
    </xf>
    <xf numFmtId="0" fontId="57" fillId="3" borderId="0" xfId="0" applyFont="1" applyFill="1" applyAlignment="1" applyProtection="1">
      <alignment horizontal="center"/>
      <protection locked="0"/>
    </xf>
    <xf numFmtId="0" fontId="61" fillId="0" borderId="7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47" xfId="0" applyFont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47" xfId="0" applyFont="1" applyBorder="1" applyAlignment="1">
      <alignment horizontal="center" vertical="center" wrapText="1"/>
    </xf>
    <xf numFmtId="0" fontId="64" fillId="0" borderId="61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0" fontId="60" fillId="17" borderId="61" xfId="0" applyFont="1" applyFill="1" applyBorder="1" applyAlignment="1">
      <alignment horizontal="center" vertical="center" wrapText="1"/>
    </xf>
    <xf numFmtId="0" fontId="60" fillId="17" borderId="14" xfId="0" applyFont="1" applyFill="1" applyBorder="1" applyAlignment="1">
      <alignment horizontal="center" vertical="center" wrapText="1"/>
    </xf>
    <xf numFmtId="0" fontId="60" fillId="17" borderId="61" xfId="0" applyFont="1" applyFill="1" applyBorder="1" applyAlignment="1">
      <alignment horizontal="center" vertical="center"/>
    </xf>
    <xf numFmtId="0" fontId="60" fillId="17" borderId="14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0" fillId="17" borderId="7" xfId="0" applyFont="1" applyFill="1" applyBorder="1" applyAlignment="1">
      <alignment horizontal="center" vertical="center"/>
    </xf>
    <xf numFmtId="0" fontId="60" fillId="17" borderId="11" xfId="0" applyFont="1" applyFill="1" applyBorder="1" applyAlignment="1">
      <alignment horizontal="center" vertical="center"/>
    </xf>
    <xf numFmtId="0" fontId="60" fillId="17" borderId="47" xfId="0" applyFont="1" applyFill="1" applyBorder="1" applyAlignment="1">
      <alignment horizontal="center" vertical="center"/>
    </xf>
    <xf numFmtId="0" fontId="60" fillId="1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</cellXfs>
  <cellStyles count="6">
    <cellStyle name="Millares" xfId="1" builtinId="3"/>
    <cellStyle name="Moneda" xfId="2" builtinId="4"/>
    <cellStyle name="Moneda_Hoja1" xfId="3" xr:uid="{00000000-0005-0000-0000-000002000000}"/>
    <cellStyle name="Normal" xfId="0" builtinId="0"/>
    <cellStyle name="Normal 2" xfId="5" xr:uid="{DB7DC3FC-A1BC-4002-B3F7-20FB2F6AF130}"/>
    <cellStyle name="Porcentaje" xfId="4" builtinId="5"/>
  </cellStyles>
  <dxfs count="3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57150</xdr:rowOff>
    </xdr:from>
    <xdr:to>
      <xdr:col>0</xdr:col>
      <xdr:colOff>1047750</xdr:colOff>
      <xdr:row>7</xdr:row>
      <xdr:rowOff>0</xdr:rowOff>
    </xdr:to>
    <xdr:pic>
      <xdr:nvPicPr>
        <xdr:cNvPr id="1263" name="2 Imagen" descr="escudo usc.bmp">
          <a:extLst>
            <a:ext uri="{FF2B5EF4-FFF2-40B4-BE49-F238E27FC236}">
              <a16:creationId xmlns:a16="http://schemas.microsoft.com/office/drawing/2014/main" id="{D0952A0D-E4EE-4A65-8406-657782E3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0" t="8531"/>
        <a:stretch>
          <a:fillRect/>
        </a:stretch>
      </xdr:blipFill>
      <xdr:spPr bwMode="auto">
        <a:xfrm>
          <a:off x="209550" y="161925"/>
          <a:ext cx="838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363541</xdr:colOff>
      <xdr:row>0</xdr:row>
      <xdr:rowOff>47625</xdr:rowOff>
    </xdr:from>
    <xdr:to>
      <xdr:col>0</xdr:col>
      <xdr:colOff>1013482</xdr:colOff>
      <xdr:row>2</xdr:row>
      <xdr:rowOff>192789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1" t="8696" r="7043" b="8696"/>
        <a:stretch/>
      </xdr:blipFill>
      <xdr:spPr>
        <a:xfrm>
          <a:off x="363541" y="47625"/>
          <a:ext cx="649941" cy="621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375449</xdr:colOff>
      <xdr:row>0</xdr:row>
      <xdr:rowOff>35718</xdr:rowOff>
    </xdr:from>
    <xdr:to>
      <xdr:col>0</xdr:col>
      <xdr:colOff>928688</xdr:colOff>
      <xdr:row>2</xdr:row>
      <xdr:rowOff>119062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7AF39-2E78-4D21-952B-4689A48643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1" t="8696" r="7043" b="8696"/>
        <a:stretch/>
      </xdr:blipFill>
      <xdr:spPr>
        <a:xfrm>
          <a:off x="375449" y="35718"/>
          <a:ext cx="553239" cy="5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5"/>
  <sheetViews>
    <sheetView tabSelected="1" zoomScale="90" zoomScaleNormal="90" workbookViewId="0">
      <pane ySplit="15" topLeftCell="A16" activePane="bottomLeft" state="frozen"/>
      <selection pane="bottomLeft" activeCell="E20" sqref="E20"/>
    </sheetView>
  </sheetViews>
  <sheetFormatPr baseColWidth="10" defaultRowHeight="15" x14ac:dyDescent="0.25"/>
  <cols>
    <col min="1" max="1" width="17.5703125" style="18" customWidth="1"/>
    <col min="2" max="2" width="42.5703125" style="18" customWidth="1"/>
    <col min="3" max="3" width="6.42578125" style="92" customWidth="1"/>
    <col min="4" max="4" width="6.5703125" style="18" customWidth="1"/>
    <col min="5" max="6" width="18.140625" style="18" customWidth="1"/>
    <col min="7" max="9" width="19.42578125" style="18" customWidth="1"/>
    <col min="10" max="11" width="19.28515625" style="18" bestFit="1" customWidth="1"/>
    <col min="12" max="12" width="4.5703125" style="18" customWidth="1"/>
    <col min="13" max="13" width="19.140625" style="140" bestFit="1" customWidth="1"/>
    <col min="14" max="14" width="2" style="18" customWidth="1"/>
    <col min="15" max="15" width="17.85546875" style="18" bestFit="1" customWidth="1"/>
    <col min="16" max="16" width="9.5703125" style="18" customWidth="1"/>
    <col min="17" max="16384" width="11.42578125" style="18"/>
  </cols>
  <sheetData>
    <row r="1" spans="1:13" ht="8.25" customHeight="1" thickBot="1" x14ac:dyDescent="0.3">
      <c r="A1" s="16"/>
      <c r="B1" s="17"/>
      <c r="C1" s="104"/>
      <c r="D1" s="16"/>
      <c r="E1" s="16"/>
    </row>
    <row r="2" spans="1:13" ht="9" customHeight="1" thickTop="1" x14ac:dyDescent="0.25">
      <c r="A2" s="94"/>
      <c r="B2" s="28"/>
      <c r="C2" s="105"/>
      <c r="D2" s="29"/>
      <c r="E2" s="29"/>
      <c r="F2" s="95"/>
      <c r="G2" s="95"/>
      <c r="H2" s="95"/>
      <c r="I2" s="95"/>
      <c r="J2" s="95"/>
      <c r="K2" s="96"/>
      <c r="L2" s="358"/>
      <c r="M2" s="409" t="s">
        <v>381</v>
      </c>
    </row>
    <row r="3" spans="1:13" ht="9" customHeight="1" x14ac:dyDescent="0.25">
      <c r="A3" s="97"/>
      <c r="B3" s="19"/>
      <c r="C3" s="106"/>
      <c r="D3" s="20"/>
      <c r="E3" s="20"/>
      <c r="K3" s="98"/>
      <c r="L3" s="358"/>
      <c r="M3" s="409"/>
    </row>
    <row r="4" spans="1:13" ht="5.25" customHeight="1" x14ac:dyDescent="0.25">
      <c r="A4" s="97"/>
      <c r="B4" s="19"/>
      <c r="C4" s="106"/>
      <c r="D4" s="20"/>
      <c r="E4" s="20"/>
      <c r="K4" s="98"/>
      <c r="L4" s="358"/>
      <c r="M4" s="409"/>
    </row>
    <row r="5" spans="1:13" ht="21.75" customHeight="1" x14ac:dyDescent="0.35">
      <c r="A5" s="415" t="s">
        <v>433</v>
      </c>
      <c r="B5" s="416"/>
      <c r="C5" s="416"/>
      <c r="D5" s="416"/>
      <c r="E5" s="416"/>
      <c r="F5" s="416"/>
      <c r="G5" s="416"/>
      <c r="H5" s="416"/>
      <c r="I5" s="416"/>
      <c r="J5" s="416"/>
      <c r="K5" s="417"/>
      <c r="L5" s="358"/>
      <c r="M5" s="409"/>
    </row>
    <row r="6" spans="1:13" ht="15.75" customHeight="1" x14ac:dyDescent="0.25">
      <c r="A6" s="418" t="s">
        <v>462</v>
      </c>
      <c r="B6" s="419"/>
      <c r="C6" s="419"/>
      <c r="D6" s="419"/>
      <c r="E6" s="419"/>
      <c r="F6" s="419"/>
      <c r="G6" s="419"/>
      <c r="H6" s="419"/>
      <c r="I6" s="419"/>
      <c r="J6" s="419"/>
      <c r="K6" s="420"/>
      <c r="L6" s="358"/>
      <c r="M6" s="409"/>
    </row>
    <row r="7" spans="1:13" ht="6.75" customHeight="1" x14ac:dyDescent="0.25">
      <c r="A7" s="97"/>
      <c r="B7" s="19"/>
      <c r="C7" s="106"/>
      <c r="D7" s="20"/>
      <c r="E7" s="20"/>
      <c r="K7" s="98"/>
      <c r="L7" s="358"/>
      <c r="M7" s="409"/>
    </row>
    <row r="8" spans="1:13" ht="9" customHeight="1" thickBot="1" x14ac:dyDescent="0.3">
      <c r="A8" s="99"/>
      <c r="B8" s="100"/>
      <c r="C8" s="107"/>
      <c r="D8" s="100"/>
      <c r="E8" s="100"/>
      <c r="F8" s="101"/>
      <c r="G8" s="101"/>
      <c r="H8" s="101"/>
      <c r="I8" s="101"/>
      <c r="J8" s="101"/>
      <c r="K8" s="102"/>
      <c r="L8" s="358"/>
      <c r="M8" s="409"/>
    </row>
    <row r="9" spans="1:13" ht="8.25" customHeight="1" thickTop="1" thickBot="1" x14ac:dyDescent="0.3">
      <c r="A9" s="20"/>
      <c r="B9" s="19"/>
      <c r="C9" s="108"/>
      <c r="D9" s="21"/>
      <c r="E9" s="21"/>
    </row>
    <row r="10" spans="1:13" s="119" customFormat="1" ht="16.5" customHeight="1" thickTop="1" x14ac:dyDescent="0.25">
      <c r="A10" s="423" t="s">
        <v>375</v>
      </c>
      <c r="B10" s="424"/>
      <c r="C10" s="425"/>
      <c r="D10" s="426"/>
      <c r="E10" s="426"/>
      <c r="F10" s="426"/>
      <c r="G10" s="427"/>
      <c r="H10" s="271"/>
      <c r="I10" s="230" t="s">
        <v>0</v>
      </c>
      <c r="J10" s="421"/>
      <c r="K10" s="422"/>
      <c r="M10" s="141"/>
    </row>
    <row r="11" spans="1:13" s="119" customFormat="1" ht="16.5" customHeight="1" x14ac:dyDescent="0.25">
      <c r="A11" s="159" t="s">
        <v>1</v>
      </c>
      <c r="B11" s="238" t="str">
        <f>CONCATENATE('ESTUDIANTES Y DOCENTES'!C5," (",'ESTUDIANTES Y DOCENTES'!AI26," grupos)")</f>
        <v>0 (0 grupos)</v>
      </c>
      <c r="C11" s="160"/>
      <c r="D11" s="160"/>
      <c r="E11" s="160"/>
      <c r="F11" s="160"/>
      <c r="G11" s="160"/>
      <c r="H11" s="203"/>
      <c r="I11" s="413" t="s">
        <v>2</v>
      </c>
      <c r="J11" s="414"/>
      <c r="K11" s="269"/>
      <c r="M11" s="141"/>
    </row>
    <row r="12" spans="1:13" s="119" customFormat="1" ht="16.5" customHeight="1" x14ac:dyDescent="0.25">
      <c r="A12" s="159" t="s">
        <v>325</v>
      </c>
      <c r="B12" s="268"/>
      <c r="C12" s="160"/>
      <c r="D12" s="160"/>
      <c r="E12" s="160"/>
      <c r="F12" s="160"/>
      <c r="G12" s="160"/>
      <c r="H12" s="203"/>
      <c r="J12" s="93" t="s">
        <v>315</v>
      </c>
      <c r="K12" s="270"/>
      <c r="M12" s="141"/>
    </row>
    <row r="13" spans="1:13" s="119" customFormat="1" ht="16.5" customHeight="1" x14ac:dyDescent="0.25">
      <c r="A13" s="159" t="s">
        <v>376</v>
      </c>
      <c r="B13" s="239" t="s">
        <v>3</v>
      </c>
      <c r="C13" s="160"/>
      <c r="D13" s="160"/>
      <c r="E13" s="160"/>
      <c r="F13" s="160"/>
      <c r="G13" s="160"/>
      <c r="H13" s="203"/>
      <c r="I13" s="413" t="s">
        <v>4</v>
      </c>
      <c r="J13" s="414"/>
      <c r="K13" s="161" t="s">
        <v>3</v>
      </c>
      <c r="M13" s="141"/>
    </row>
    <row r="14" spans="1:13" s="119" customFormat="1" ht="16.5" customHeight="1" x14ac:dyDescent="0.25">
      <c r="A14" s="159" t="s">
        <v>5</v>
      </c>
      <c r="B14" s="240" t="s">
        <v>6</v>
      </c>
      <c r="C14" s="160"/>
      <c r="D14" s="160"/>
      <c r="E14" s="160"/>
      <c r="F14" s="160"/>
      <c r="G14" s="160"/>
      <c r="H14" s="203"/>
      <c r="J14" s="93" t="s">
        <v>7</v>
      </c>
      <c r="K14" s="162" t="s">
        <v>3</v>
      </c>
      <c r="M14" s="141"/>
    </row>
    <row r="15" spans="1:13" s="119" customFormat="1" ht="24.75" customHeight="1" x14ac:dyDescent="0.25">
      <c r="A15" s="432" t="s">
        <v>8</v>
      </c>
      <c r="B15" s="433"/>
      <c r="C15" s="120"/>
      <c r="D15" s="120"/>
      <c r="E15" s="272">
        <v>2027</v>
      </c>
      <c r="F15" s="326">
        <f t="shared" ref="F15:K15" si="0">E15+1</f>
        <v>2028</v>
      </c>
      <c r="G15" s="326">
        <f t="shared" si="0"/>
        <v>2029</v>
      </c>
      <c r="H15" s="326">
        <f t="shared" si="0"/>
        <v>2030</v>
      </c>
      <c r="I15" s="326">
        <f t="shared" si="0"/>
        <v>2031</v>
      </c>
      <c r="J15" s="326">
        <f t="shared" si="0"/>
        <v>2032</v>
      </c>
      <c r="K15" s="326">
        <f t="shared" si="0"/>
        <v>2033</v>
      </c>
      <c r="M15" s="141"/>
    </row>
    <row r="16" spans="1:13" s="119" customFormat="1" ht="15.75" x14ac:dyDescent="0.25">
      <c r="A16" s="410" t="s">
        <v>460</v>
      </c>
      <c r="B16" s="411"/>
      <c r="C16" s="411"/>
      <c r="D16" s="411"/>
      <c r="E16" s="411"/>
      <c r="F16" s="411"/>
      <c r="G16" s="411"/>
      <c r="H16" s="411"/>
      <c r="I16" s="411"/>
      <c r="J16" s="411"/>
      <c r="K16" s="412"/>
      <c r="M16" s="141"/>
    </row>
    <row r="17" spans="1:11" x14ac:dyDescent="0.25">
      <c r="A17" s="428" t="s">
        <v>74</v>
      </c>
      <c r="B17" s="429"/>
      <c r="C17" s="109"/>
      <c r="D17" s="22"/>
      <c r="E17" s="23"/>
      <c r="F17" s="23"/>
      <c r="G17" s="23"/>
      <c r="H17" s="23"/>
      <c r="I17" s="23"/>
      <c r="J17" s="23"/>
      <c r="K17" s="23"/>
    </row>
    <row r="18" spans="1:11" x14ac:dyDescent="0.25">
      <c r="A18" s="430" t="s">
        <v>72</v>
      </c>
      <c r="B18" s="431"/>
      <c r="C18" s="110"/>
      <c r="D18" s="1"/>
      <c r="E18" s="2">
        <f>IF(INGRESOS!$A$2="TECNICO",INGRESOS!Q9,0)</f>
        <v>0</v>
      </c>
      <c r="F18" s="2">
        <f>IF(INGRESOS!$A$2="TECNICO",INGRESOS!R9,0)</f>
        <v>0</v>
      </c>
      <c r="G18" s="2">
        <f>IF(INGRESOS!$A$2="TECNICO",INGRESOS!S9,0)</f>
        <v>0</v>
      </c>
      <c r="H18" s="2">
        <f>IF(INGRESOS!$A$2="TECNICO",INGRESOS!T9,0)</f>
        <v>0</v>
      </c>
      <c r="I18" s="2">
        <f>IF(INGRESOS!$A$2="TECNICO",INGRESOS!U9,0)</f>
        <v>0</v>
      </c>
      <c r="J18" s="2">
        <f>IF(INGRESOS!$A$2="TECNICO",INGRESOS!V9,0)</f>
        <v>0</v>
      </c>
      <c r="K18" s="2">
        <f>IF(INGRESOS!$A$2="TECNICO",INGRESOS!W9,0)</f>
        <v>0</v>
      </c>
    </row>
    <row r="19" spans="1:11" x14ac:dyDescent="0.25">
      <c r="A19" s="430" t="s">
        <v>73</v>
      </c>
      <c r="B19" s="431"/>
      <c r="C19" s="111"/>
      <c r="D19" s="1"/>
      <c r="E19" s="2">
        <f>IF(INGRESOS!$A$2="TECNICO",INGRESOS!Q42,0)</f>
        <v>0</v>
      </c>
      <c r="F19" s="2">
        <f>IF(INGRESOS!$A$2="TECNICO",INGRESOS!R42,0)</f>
        <v>0</v>
      </c>
      <c r="G19" s="2">
        <f>IF(INGRESOS!$A$2="TECNICO",INGRESOS!S42,0)</f>
        <v>0</v>
      </c>
      <c r="H19" s="2">
        <f>IF(INGRESOS!$A$2="TECNICO",INGRESOS!T42,0)</f>
        <v>0</v>
      </c>
      <c r="I19" s="2">
        <f>IF(INGRESOS!$A$2="TECNICO",INGRESOS!U42,0)</f>
        <v>0</v>
      </c>
      <c r="J19" s="2">
        <f>IF(INGRESOS!$A$2="TECNICO",INGRESOS!V42,0)</f>
        <v>0</v>
      </c>
      <c r="K19" s="2">
        <f>IF(INGRESOS!$A$2="TECNICO",INGRESOS!W42,0)</f>
        <v>0</v>
      </c>
    </row>
    <row r="20" spans="1:11" x14ac:dyDescent="0.25">
      <c r="A20" s="430" t="s">
        <v>101</v>
      </c>
      <c r="B20" s="431"/>
      <c r="C20" s="111"/>
      <c r="D20" s="1"/>
      <c r="E20" s="2">
        <f>IF(INGRESOS!$A$2="TECNICO",INGRESOS!Q49,0)</f>
        <v>0</v>
      </c>
      <c r="F20" s="2">
        <f>IF(INGRESOS!$A$2="TECNICO",INGRESOS!R49,0)</f>
        <v>0</v>
      </c>
      <c r="G20" s="2">
        <f>IF(INGRESOS!$A$2="TECNICO",INGRESOS!S49,0)</f>
        <v>0</v>
      </c>
      <c r="H20" s="2">
        <f>IF(INGRESOS!$A$2="TECNICO",INGRESOS!T49,0)</f>
        <v>0</v>
      </c>
      <c r="I20" s="2">
        <f>IF(INGRESOS!$A$2="TECNICO",INGRESOS!U49,0)</f>
        <v>0</v>
      </c>
      <c r="J20" s="2">
        <f>IF(INGRESOS!$A$2="TECNICO",INGRESOS!V49,0)</f>
        <v>0</v>
      </c>
      <c r="K20" s="2">
        <f>IF(INGRESOS!$A$2="TECNICO",INGRESOS!W49,0)</f>
        <v>0</v>
      </c>
    </row>
    <row r="21" spans="1:11" x14ac:dyDescent="0.25">
      <c r="A21" s="430" t="s">
        <v>116</v>
      </c>
      <c r="B21" s="431"/>
      <c r="C21" s="111"/>
      <c r="D21" s="1"/>
      <c r="E21" s="2">
        <f>IF(INGRESOS!$A$2="TECNICO",INGRESOS!Q63,0)</f>
        <v>0</v>
      </c>
      <c r="F21" s="2">
        <f>IF(INGRESOS!$A$2="TECNICO",INGRESOS!R63,0)</f>
        <v>0</v>
      </c>
      <c r="G21" s="2">
        <f>IF(INGRESOS!$A$2="TECNICO",INGRESOS!S63,0)</f>
        <v>0</v>
      </c>
      <c r="H21" s="2">
        <f>IF(INGRESOS!$A$2="TECNICO",INGRESOS!T63,0)</f>
        <v>0</v>
      </c>
      <c r="I21" s="2">
        <f>IF(INGRESOS!$A$2="TECNICO",INGRESOS!U63,0)</f>
        <v>0</v>
      </c>
      <c r="J21" s="2">
        <f>IF(INGRESOS!$A$2="TECNICO",INGRESOS!V63,0)</f>
        <v>0</v>
      </c>
      <c r="K21" s="2">
        <f>IF(INGRESOS!$A$2="TECNICO",INGRESOS!W63,0)</f>
        <v>0</v>
      </c>
    </row>
    <row r="22" spans="1:11" x14ac:dyDescent="0.25">
      <c r="A22" s="430" t="s">
        <v>87</v>
      </c>
      <c r="B22" s="431"/>
      <c r="C22" s="112">
        <v>0</v>
      </c>
      <c r="D22" s="1"/>
      <c r="E22" s="2">
        <f>-E$19*$C22</f>
        <v>0</v>
      </c>
      <c r="F22" s="2">
        <f t="shared" ref="F22:K23" si="1">-F$19*$C22</f>
        <v>0</v>
      </c>
      <c r="G22" s="2">
        <f t="shared" si="1"/>
        <v>0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2">
        <f t="shared" si="1"/>
        <v>0</v>
      </c>
    </row>
    <row r="23" spans="1:11" x14ac:dyDescent="0.25">
      <c r="A23" s="430" t="s">
        <v>88</v>
      </c>
      <c r="B23" s="431"/>
      <c r="C23" s="112">
        <v>0.1</v>
      </c>
      <c r="D23" s="1"/>
      <c r="E23" s="2">
        <f>-E$19*$C23</f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</row>
    <row r="24" spans="1:11" x14ac:dyDescent="0.25">
      <c r="A24" s="430" t="s">
        <v>89</v>
      </c>
      <c r="B24" s="431"/>
      <c r="C24" s="113" t="s">
        <v>185</v>
      </c>
      <c r="D24" s="166">
        <f>-IF(SUM(E19:I19)&gt;0,SUM(E24:I24)/SUM(E19:I19),0)</f>
        <v>0</v>
      </c>
      <c r="E24" s="2">
        <f>-IF(INGRESOS!$A$2="TECNICO",INGRESOS!Q70,0)</f>
        <v>0</v>
      </c>
      <c r="F24" s="2">
        <f>-IF(INGRESOS!$A$2="TECNICO",INGRESOS!R70,0)</f>
        <v>0</v>
      </c>
      <c r="G24" s="2">
        <f>-IF(INGRESOS!$A$2="TECNICO",INGRESOS!S70,0)</f>
        <v>0</v>
      </c>
      <c r="H24" s="2">
        <f>-IF(INGRESOS!$A$2="TECNICO",INGRESOS!T70,0)</f>
        <v>0</v>
      </c>
      <c r="I24" s="2">
        <f>-IF(INGRESOS!$A$2="TECNICO",INGRESOS!U70,0)</f>
        <v>0</v>
      </c>
      <c r="J24" s="2">
        <f>-IF(INGRESOS!$A$2="TECNICO",INGRESOS!V70,0)</f>
        <v>0</v>
      </c>
      <c r="K24" s="2">
        <f>-IF(INGRESOS!$A$2="TECNICO",INGRESOS!W70,0)</f>
        <v>0</v>
      </c>
    </row>
    <row r="25" spans="1:11" x14ac:dyDescent="0.25">
      <c r="A25" s="428" t="s">
        <v>75</v>
      </c>
      <c r="B25" s="429"/>
      <c r="C25" s="109"/>
      <c r="D25" s="22"/>
      <c r="E25" s="23"/>
      <c r="F25" s="23"/>
      <c r="G25" s="23"/>
      <c r="H25" s="23"/>
      <c r="I25" s="23"/>
      <c r="J25" s="23"/>
      <c r="K25" s="23"/>
    </row>
    <row r="26" spans="1:11" x14ac:dyDescent="0.25">
      <c r="A26" s="430" t="s">
        <v>66</v>
      </c>
      <c r="B26" s="431"/>
      <c r="C26" s="114"/>
      <c r="D26" s="1"/>
      <c r="E26" s="2">
        <f>IF(INGRESOS!$A$2="TECNOLOGICO",INGRESOS!Q9,0)</f>
        <v>0</v>
      </c>
      <c r="F26" s="2">
        <f>IF(INGRESOS!$A$2="TECNOLOGICO",INGRESOS!R9,0)</f>
        <v>0</v>
      </c>
      <c r="G26" s="2">
        <f>IF(INGRESOS!$A$2="TECNOLOGICO",INGRESOS!S9,0)</f>
        <v>0</v>
      </c>
      <c r="H26" s="2">
        <f>IF(INGRESOS!$A$2="TECNOLOGICO",INGRESOS!T9,0)</f>
        <v>0</v>
      </c>
      <c r="I26" s="2">
        <f>IF(INGRESOS!$A$2="TECNOLOGICO",INGRESOS!U9,0)</f>
        <v>0</v>
      </c>
      <c r="J26" s="2">
        <f>IF(INGRESOS!$A$2="TECNOLOGICO",INGRESOS!V9,0)</f>
        <v>0</v>
      </c>
      <c r="K26" s="2">
        <f>IF(INGRESOS!$A$2="TECNOLOGICO",INGRESOS!W9,0)</f>
        <v>0</v>
      </c>
    </row>
    <row r="27" spans="1:11" x14ac:dyDescent="0.25">
      <c r="A27" s="430" t="s">
        <v>67</v>
      </c>
      <c r="B27" s="431"/>
      <c r="C27" s="114"/>
      <c r="D27" s="1"/>
      <c r="E27" s="2">
        <f>IF(INGRESOS!$A$2="TECNOLOGICO",INGRESOS!Q42,0)</f>
        <v>0</v>
      </c>
      <c r="F27" s="2">
        <f>IF(INGRESOS!$A$2="TECNOLOGICO",INGRESOS!R42,0)</f>
        <v>0</v>
      </c>
      <c r="G27" s="2">
        <f>IF(INGRESOS!$A$2="TECNOLOGICO",INGRESOS!S42,0)</f>
        <v>0</v>
      </c>
      <c r="H27" s="2">
        <f>IF(INGRESOS!$A$2="TECNOLOGICO",INGRESOS!T42,0)</f>
        <v>0</v>
      </c>
      <c r="I27" s="2">
        <f>IF(INGRESOS!$A$2="TECNOLOGICO",INGRESOS!U42,0)</f>
        <v>0</v>
      </c>
      <c r="J27" s="2">
        <f>IF(INGRESOS!$A$2="TECNOLOGICO",INGRESOS!V42,0)</f>
        <v>0</v>
      </c>
      <c r="K27" s="2">
        <f>IF(INGRESOS!$A$2="TECNOLOGICO",INGRESOS!W42,0)</f>
        <v>0</v>
      </c>
    </row>
    <row r="28" spans="1:11" x14ac:dyDescent="0.25">
      <c r="A28" s="430" t="s">
        <v>102</v>
      </c>
      <c r="B28" s="431"/>
      <c r="C28" s="110"/>
      <c r="D28" s="1"/>
      <c r="E28" s="2">
        <f>IF(INGRESOS!$A$2="TECNOLOGICO",INGRESOS!Q49,0)</f>
        <v>0</v>
      </c>
      <c r="F28" s="2">
        <f>IF(INGRESOS!$A$2="TECNOLOGICO",INGRESOS!R49,0)</f>
        <v>0</v>
      </c>
      <c r="G28" s="2">
        <f>IF(INGRESOS!$A$2="TECNOLOGICO",INGRESOS!S49,0)</f>
        <v>0</v>
      </c>
      <c r="H28" s="2">
        <f>IF(INGRESOS!$A$2="TECNOLOGICO",INGRESOS!T49,0)</f>
        <v>0</v>
      </c>
      <c r="I28" s="2">
        <f>IF(INGRESOS!$A$2="TECNOLOGICO",INGRESOS!U49,0)</f>
        <v>0</v>
      </c>
      <c r="J28" s="2">
        <f>IF(INGRESOS!$A$2="TECNOLOGICO",INGRESOS!V49,0)</f>
        <v>0</v>
      </c>
      <c r="K28" s="2">
        <f>IF(INGRESOS!$A$2="TECNOLOGICO",INGRESOS!W49,0)</f>
        <v>0</v>
      </c>
    </row>
    <row r="29" spans="1:11" x14ac:dyDescent="0.25">
      <c r="A29" s="430" t="s">
        <v>117</v>
      </c>
      <c r="B29" s="431"/>
      <c r="C29" s="111"/>
      <c r="D29" s="1"/>
      <c r="E29" s="2">
        <f>IF(INGRESOS!$A$2="TECNOLOGICO",INGRESOS!Q63,0)</f>
        <v>0</v>
      </c>
      <c r="F29" s="2">
        <f>IF(INGRESOS!$A$2="TECNOLOGICO",INGRESOS!R63,0)</f>
        <v>0</v>
      </c>
      <c r="G29" s="2">
        <f>IF(INGRESOS!$A$2="TECNOLOGICO",INGRESOS!S63,0)</f>
        <v>0</v>
      </c>
      <c r="H29" s="2">
        <f>IF(INGRESOS!$A$2="TECNOLOGICO",INGRESOS!T63,0)</f>
        <v>0</v>
      </c>
      <c r="I29" s="2">
        <f>IF(INGRESOS!$A$2="TECNOLOGICO",INGRESOS!U63,0)</f>
        <v>0</v>
      </c>
      <c r="J29" s="2">
        <f>IF(INGRESOS!$A$2="TECNOLOGICO",INGRESOS!V63,0)</f>
        <v>0</v>
      </c>
      <c r="K29" s="2">
        <f>IF(INGRESOS!$A$2="TECNOLOGICO",INGRESOS!W63,0)</f>
        <v>0</v>
      </c>
    </row>
    <row r="30" spans="1:11" x14ac:dyDescent="0.25">
      <c r="A30" s="430" t="s">
        <v>90</v>
      </c>
      <c r="B30" s="431"/>
      <c r="C30" s="112">
        <v>0</v>
      </c>
      <c r="D30" s="1"/>
      <c r="E30" s="2">
        <f>-E$27*$C30</f>
        <v>0</v>
      </c>
      <c r="F30" s="2">
        <f t="shared" ref="F30:K31" si="2">-F$27*$C30</f>
        <v>0</v>
      </c>
      <c r="G30" s="2">
        <f t="shared" si="2"/>
        <v>0</v>
      </c>
      <c r="H30" s="2">
        <f t="shared" si="2"/>
        <v>0</v>
      </c>
      <c r="I30" s="2">
        <f t="shared" si="2"/>
        <v>0</v>
      </c>
      <c r="J30" s="2">
        <f t="shared" si="2"/>
        <v>0</v>
      </c>
      <c r="K30" s="2">
        <f t="shared" si="2"/>
        <v>0</v>
      </c>
    </row>
    <row r="31" spans="1:11" x14ac:dyDescent="0.25">
      <c r="A31" s="430" t="s">
        <v>91</v>
      </c>
      <c r="B31" s="431"/>
      <c r="C31" s="112">
        <v>0.1</v>
      </c>
      <c r="D31" s="1"/>
      <c r="E31" s="2">
        <f>-E$27*$C31</f>
        <v>0</v>
      </c>
      <c r="F31" s="2">
        <f t="shared" si="2"/>
        <v>0</v>
      </c>
      <c r="G31" s="2">
        <f t="shared" si="2"/>
        <v>0</v>
      </c>
      <c r="H31" s="2">
        <f t="shared" si="2"/>
        <v>0</v>
      </c>
      <c r="I31" s="2">
        <f t="shared" si="2"/>
        <v>0</v>
      </c>
      <c r="J31" s="2">
        <f t="shared" si="2"/>
        <v>0</v>
      </c>
      <c r="K31" s="2">
        <f t="shared" si="2"/>
        <v>0</v>
      </c>
    </row>
    <row r="32" spans="1:11" x14ac:dyDescent="0.25">
      <c r="A32" s="430" t="s">
        <v>92</v>
      </c>
      <c r="B32" s="431"/>
      <c r="C32" s="113" t="s">
        <v>185</v>
      </c>
      <c r="D32" s="166">
        <f>-IF(SUM(E27:I27)&gt;0,SUM(E32:I32)/SUM(E27:I27),0)</f>
        <v>0</v>
      </c>
      <c r="E32" s="2">
        <f>-IF(INGRESOS!$A$2="TECNOLOGICO",INGRESOS!Q70,0)</f>
        <v>0</v>
      </c>
      <c r="F32" s="2">
        <f>-IF(INGRESOS!$A$2="TECNOLOGICO",INGRESOS!R70,0)</f>
        <v>0</v>
      </c>
      <c r="G32" s="2">
        <f>-IF(INGRESOS!$A$2="TECNOLOGICO",INGRESOS!S70,0)</f>
        <v>0</v>
      </c>
      <c r="H32" s="2">
        <f>-IF(INGRESOS!$A$2="TECNOLOGICO",INGRESOS!T70,0)</f>
        <v>0</v>
      </c>
      <c r="I32" s="2">
        <f>-IF(INGRESOS!$A$2="TECNOLOGICO",INGRESOS!U70,0)</f>
        <v>0</v>
      </c>
      <c r="J32" s="2">
        <f>-IF(INGRESOS!$A$2="TECNOLOGICO",INGRESOS!V70,0)</f>
        <v>0</v>
      </c>
      <c r="K32" s="2">
        <f>-IF(INGRESOS!$A$2="TECNOLOGICO",INGRESOS!W70,0)</f>
        <v>0</v>
      </c>
    </row>
    <row r="33" spans="1:11" x14ac:dyDescent="0.25">
      <c r="A33" s="428" t="s">
        <v>76</v>
      </c>
      <c r="B33" s="429"/>
      <c r="C33" s="109"/>
      <c r="D33" s="22"/>
      <c r="E33" s="23"/>
      <c r="F33" s="23"/>
      <c r="G33" s="23"/>
      <c r="H33" s="23"/>
      <c r="I33" s="23"/>
      <c r="J33" s="23"/>
      <c r="K33" s="23"/>
    </row>
    <row r="34" spans="1:11" x14ac:dyDescent="0.25">
      <c r="A34" s="430" t="s">
        <v>68</v>
      </c>
      <c r="B34" s="431"/>
      <c r="C34" s="110"/>
      <c r="D34" s="1"/>
      <c r="E34" s="2">
        <f>IF(INGRESOS!$A$2="PROFESIONAL",INGRESOS!Q9,0)</f>
        <v>0</v>
      </c>
      <c r="F34" s="2">
        <f>IF(INGRESOS!$A$2="PROFESIONAL",INGRESOS!R9,0)</f>
        <v>0</v>
      </c>
      <c r="G34" s="2">
        <f>IF(INGRESOS!$A$2="PROFESIONAL",INGRESOS!S9,0)</f>
        <v>0</v>
      </c>
      <c r="H34" s="2">
        <f>IF(INGRESOS!$A$2="PROFESIONAL",INGRESOS!T9,0)</f>
        <v>0</v>
      </c>
      <c r="I34" s="2">
        <f>IF(INGRESOS!$A$2="PROFESIONAL",INGRESOS!U9,0)</f>
        <v>0</v>
      </c>
      <c r="J34" s="2">
        <f>IF(INGRESOS!$A$2="PROFESIONAL",INGRESOS!V9,0)</f>
        <v>0</v>
      </c>
      <c r="K34" s="2">
        <f>IF(INGRESOS!$A$2="PROFESIONAL",INGRESOS!W9,0)</f>
        <v>0</v>
      </c>
    </row>
    <row r="35" spans="1:11" x14ac:dyDescent="0.25">
      <c r="A35" s="430" t="s">
        <v>69</v>
      </c>
      <c r="B35" s="431"/>
      <c r="C35" s="112"/>
      <c r="D35" s="3"/>
      <c r="E35" s="2">
        <f>IF(INGRESOS!$A$2="PROFESIONAL",INGRESOS!Q42,0)</f>
        <v>0</v>
      </c>
      <c r="F35" s="2">
        <f>IF(INGRESOS!$A$2="PROFESIONAL",INGRESOS!R42,0)</f>
        <v>0</v>
      </c>
      <c r="G35" s="2">
        <f>IF(INGRESOS!$A$2="PROFESIONAL",INGRESOS!S42,0)</f>
        <v>0</v>
      </c>
      <c r="H35" s="2">
        <f>IF(INGRESOS!$A$2="PROFESIONAL",INGRESOS!T42,0)</f>
        <v>0</v>
      </c>
      <c r="I35" s="2">
        <f>IF(INGRESOS!$A$2="PROFESIONAL",INGRESOS!U42,0)</f>
        <v>0</v>
      </c>
      <c r="J35" s="2">
        <f>IF(INGRESOS!$A$2="PROFESIONAL",INGRESOS!V42,0)</f>
        <v>0</v>
      </c>
      <c r="K35" s="2">
        <f>IF(INGRESOS!$A$2="PROFESIONAL",INGRESOS!W42,0)</f>
        <v>0</v>
      </c>
    </row>
    <row r="36" spans="1:11" x14ac:dyDescent="0.25">
      <c r="A36" s="430" t="s">
        <v>103</v>
      </c>
      <c r="B36" s="431"/>
      <c r="C36" s="112"/>
      <c r="D36" s="1"/>
      <c r="E36" s="2">
        <f>IF(INGRESOS!$A$2="PROFESIONAL",INGRESOS!Q49,0)</f>
        <v>0</v>
      </c>
      <c r="F36" s="2">
        <f>IF(INGRESOS!$A$2="PROFESIONAL",INGRESOS!R49,0)</f>
        <v>0</v>
      </c>
      <c r="G36" s="2">
        <f>IF(INGRESOS!$A$2="PROFESIONAL",INGRESOS!S49,0)</f>
        <v>0</v>
      </c>
      <c r="H36" s="2">
        <f>IF(INGRESOS!$A$2="PROFESIONAL",INGRESOS!T49,0)</f>
        <v>0</v>
      </c>
      <c r="I36" s="2">
        <f>IF(INGRESOS!$A$2="PROFESIONAL",INGRESOS!U49,0)</f>
        <v>0</v>
      </c>
      <c r="J36" s="2">
        <f>IF(INGRESOS!$A$2="PROFESIONAL",INGRESOS!V49,0)</f>
        <v>0</v>
      </c>
      <c r="K36" s="2">
        <f>IF(INGRESOS!$A$2="PROFESIONAL",INGRESOS!W49,0)</f>
        <v>0</v>
      </c>
    </row>
    <row r="37" spans="1:11" x14ac:dyDescent="0.25">
      <c r="A37" s="430" t="s">
        <v>118</v>
      </c>
      <c r="B37" s="431"/>
      <c r="C37" s="112"/>
      <c r="D37" s="1"/>
      <c r="E37" s="2">
        <f>IF(INGRESOS!$A$2="PROFESIONAL",INGRESOS!Q63,0)</f>
        <v>0</v>
      </c>
      <c r="F37" s="2">
        <f>IF(INGRESOS!$A$2="PROFESIONAL",INGRESOS!R63,0)</f>
        <v>0</v>
      </c>
      <c r="G37" s="2">
        <f>IF(INGRESOS!$A$2="PROFESIONAL",INGRESOS!S63,0)</f>
        <v>0</v>
      </c>
      <c r="H37" s="2">
        <f>IF(INGRESOS!$A$2="PROFESIONAL",INGRESOS!T63,0)</f>
        <v>0</v>
      </c>
      <c r="I37" s="2">
        <f>IF(INGRESOS!$A$2="PROFESIONAL",INGRESOS!U63,0)</f>
        <v>0</v>
      </c>
      <c r="J37" s="2">
        <f>IF(INGRESOS!$A$2="PROFESIONAL",INGRESOS!V63,0)</f>
        <v>0</v>
      </c>
      <c r="K37" s="2">
        <f>IF(INGRESOS!$A$2="PROFESIONAL",INGRESOS!W63,0)</f>
        <v>0</v>
      </c>
    </row>
    <row r="38" spans="1:11" x14ac:dyDescent="0.25">
      <c r="A38" s="430" t="s">
        <v>96</v>
      </c>
      <c r="B38" s="431"/>
      <c r="C38" s="112"/>
      <c r="D38" s="1"/>
      <c r="E38" s="2">
        <f>-E$35*$C38</f>
        <v>0</v>
      </c>
      <c r="F38" s="2">
        <f t="shared" ref="F38:K38" si="3">-F$35*$C38</f>
        <v>0</v>
      </c>
      <c r="G38" s="2">
        <f t="shared" si="3"/>
        <v>0</v>
      </c>
      <c r="H38" s="2">
        <f t="shared" si="3"/>
        <v>0</v>
      </c>
      <c r="I38" s="2">
        <f t="shared" si="3"/>
        <v>0</v>
      </c>
      <c r="J38" s="2">
        <f t="shared" si="3"/>
        <v>0</v>
      </c>
      <c r="K38" s="2">
        <f t="shared" si="3"/>
        <v>0</v>
      </c>
    </row>
    <row r="39" spans="1:11" x14ac:dyDescent="0.25">
      <c r="A39" s="430" t="s">
        <v>97</v>
      </c>
      <c r="B39" s="431"/>
      <c r="C39" s="112"/>
      <c r="D39" s="112">
        <v>0.1</v>
      </c>
      <c r="E39" s="2">
        <f t="shared" ref="E39:K39" si="4">-E$35*$D39</f>
        <v>0</v>
      </c>
      <c r="F39" s="2">
        <f t="shared" si="4"/>
        <v>0</v>
      </c>
      <c r="G39" s="2">
        <f t="shared" si="4"/>
        <v>0</v>
      </c>
      <c r="H39" s="2">
        <f t="shared" si="4"/>
        <v>0</v>
      </c>
      <c r="I39" s="2">
        <f t="shared" si="4"/>
        <v>0</v>
      </c>
      <c r="J39" s="2">
        <f t="shared" si="4"/>
        <v>0</v>
      </c>
      <c r="K39" s="2">
        <f t="shared" si="4"/>
        <v>0</v>
      </c>
    </row>
    <row r="40" spans="1:11" x14ac:dyDescent="0.25">
      <c r="A40" s="430" t="s">
        <v>377</v>
      </c>
      <c r="B40" s="431"/>
      <c r="C40" s="113"/>
      <c r="D40" s="166">
        <f>-IF(SUM(E35:I35)&gt;0,SUM(E40:I40)/SUM(E35:I35),0)</f>
        <v>0</v>
      </c>
      <c r="E40" s="2">
        <f>-IF(INGRESOS!$A$2="PROFESIONAL",INGRESOS!Q70,0)</f>
        <v>0</v>
      </c>
      <c r="F40" s="2">
        <f>-IF(INGRESOS!$A$2="PROFESIONAL",INGRESOS!R70,0)</f>
        <v>0</v>
      </c>
      <c r="G40" s="2">
        <f>-IF(INGRESOS!$A$2="PROFESIONAL",INGRESOS!S70,0)</f>
        <v>0</v>
      </c>
      <c r="H40" s="2">
        <f>-IF(INGRESOS!$A$2="PROFESIONAL",INGRESOS!T70,0)</f>
        <v>0</v>
      </c>
      <c r="I40" s="2">
        <f>-IF(INGRESOS!$A$2="PROFESIONAL",INGRESOS!U70,0)</f>
        <v>0</v>
      </c>
      <c r="J40" s="2">
        <f>-IF(INGRESOS!$A$2="PROFESIONAL",INGRESOS!V70,0)</f>
        <v>0</v>
      </c>
      <c r="K40" s="2">
        <f>-IF(INGRESOS!$A$2="PROFESIONAL",INGRESOS!W70,0)</f>
        <v>0</v>
      </c>
    </row>
    <row r="41" spans="1:11" x14ac:dyDescent="0.25">
      <c r="A41" s="428" t="s">
        <v>77</v>
      </c>
      <c r="B41" s="429"/>
      <c r="C41" s="109"/>
      <c r="D41" s="22"/>
      <c r="E41" s="23"/>
      <c r="F41" s="23"/>
      <c r="G41" s="23"/>
      <c r="H41" s="23"/>
      <c r="I41" s="23"/>
      <c r="J41" s="23"/>
      <c r="K41" s="23"/>
    </row>
    <row r="42" spans="1:11" x14ac:dyDescent="0.25">
      <c r="A42" s="430" t="s">
        <v>70</v>
      </c>
      <c r="B42" s="431"/>
      <c r="C42" s="112"/>
      <c r="D42" s="1"/>
      <c r="E42" s="2">
        <f>IF(INGRESOS!$A$2="POSTGRADO",INGRESOS!Q9,0)</f>
        <v>0</v>
      </c>
      <c r="F42" s="2">
        <f>IF(INGRESOS!$A$2="POSTGRADO",INGRESOS!R9,0)</f>
        <v>0</v>
      </c>
      <c r="G42" s="2">
        <f>IF(INGRESOS!$A$2="POSTGRADO",INGRESOS!S9,0)</f>
        <v>0</v>
      </c>
      <c r="H42" s="2">
        <f>IF(INGRESOS!$A$2="POSTGRADO",INGRESOS!T9,0)</f>
        <v>0</v>
      </c>
      <c r="I42" s="2">
        <f>IF(INGRESOS!$A$2="POSTGRADO",INGRESOS!U9,0)</f>
        <v>0</v>
      </c>
      <c r="J42" s="2">
        <f>IF(INGRESOS!$A$2="POSTGRADO",INGRESOS!V9,0)</f>
        <v>0</v>
      </c>
      <c r="K42" s="2">
        <f>IF(INGRESOS!$A$2="POSTGRADO",INGRESOS!W9,0)</f>
        <v>0</v>
      </c>
    </row>
    <row r="43" spans="1:11" x14ac:dyDescent="0.25">
      <c r="A43" s="430" t="s">
        <v>71</v>
      </c>
      <c r="B43" s="431"/>
      <c r="C43" s="112"/>
      <c r="D43" s="1"/>
      <c r="E43" s="2">
        <f>IF(INGRESOS!$A$2="POSTGRADO",INGRESOS!Q42,0)</f>
        <v>0</v>
      </c>
      <c r="F43" s="2">
        <f>IF(INGRESOS!$A$2="POSTGRADO",INGRESOS!R42,0)</f>
        <v>0</v>
      </c>
      <c r="G43" s="2">
        <f>IF(INGRESOS!$A$2="POSTGRADO",INGRESOS!S42,0)</f>
        <v>0</v>
      </c>
      <c r="H43" s="2">
        <f>IF(INGRESOS!$A$2="POSTGRADO",INGRESOS!T42,0)</f>
        <v>0</v>
      </c>
      <c r="I43" s="2">
        <f>IF(INGRESOS!$A$2="POSTGRADO",INGRESOS!U42,0)</f>
        <v>0</v>
      </c>
      <c r="J43" s="2">
        <f>IF(INGRESOS!$A$2="POSTGRADO",INGRESOS!V42,0)</f>
        <v>0</v>
      </c>
      <c r="K43" s="2">
        <f>IF(INGRESOS!$A$2="POSTGRADO",INGRESOS!W42,0)</f>
        <v>0</v>
      </c>
    </row>
    <row r="44" spans="1:11" x14ac:dyDescent="0.25">
      <c r="A44" s="430" t="s">
        <v>104</v>
      </c>
      <c r="B44" s="431"/>
      <c r="C44" s="112"/>
      <c r="D44" s="1"/>
      <c r="E44" s="2">
        <f>IF(INGRESOS!$A$2="POSTGRADO",INGRESOS!Q49,0)</f>
        <v>0</v>
      </c>
      <c r="F44" s="2">
        <f>IF(INGRESOS!$A$2="POSTGRADO",INGRESOS!R49,0)</f>
        <v>0</v>
      </c>
      <c r="G44" s="2">
        <f>IF(INGRESOS!$A$2="POSTGRADO",INGRESOS!S49,0)</f>
        <v>0</v>
      </c>
      <c r="H44" s="2">
        <f>IF(INGRESOS!$A$2="POSTGRADO",INGRESOS!T49,0)</f>
        <v>0</v>
      </c>
      <c r="I44" s="2">
        <f>IF(INGRESOS!$A$2="POSTGRADO",INGRESOS!U49,0)</f>
        <v>0</v>
      </c>
      <c r="J44" s="2">
        <f>IF(INGRESOS!$A$2="POSTGRADO",INGRESOS!V49,0)</f>
        <v>0</v>
      </c>
      <c r="K44" s="2">
        <f>IF(INGRESOS!$A$2="POSTGRADO",INGRESOS!W49,0)</f>
        <v>0</v>
      </c>
    </row>
    <row r="45" spans="1:11" x14ac:dyDescent="0.25">
      <c r="A45" s="430" t="s">
        <v>119</v>
      </c>
      <c r="B45" s="431"/>
      <c r="C45" s="112"/>
      <c r="D45" s="1"/>
      <c r="E45" s="2">
        <f>IF(INGRESOS!$A$2="POSTGRADO",INGRESOS!Q63,0)</f>
        <v>0</v>
      </c>
      <c r="F45" s="2">
        <f>IF(INGRESOS!$A$2="POSTGRADO",INGRESOS!R63,0)</f>
        <v>0</v>
      </c>
      <c r="G45" s="2">
        <f>IF(INGRESOS!$A$2="POSTGRADO",INGRESOS!S63,0)</f>
        <v>0</v>
      </c>
      <c r="H45" s="2">
        <f>IF(INGRESOS!$A$2="POSTGRADO",INGRESOS!T63,0)</f>
        <v>0</v>
      </c>
      <c r="I45" s="2">
        <f>IF(INGRESOS!$A$2="POSTGRADO",INGRESOS!U63,0)</f>
        <v>0</v>
      </c>
      <c r="J45" s="2">
        <f>IF(INGRESOS!$A$2="POSTGRADO",INGRESOS!V63,0)</f>
        <v>0</v>
      </c>
      <c r="K45" s="2">
        <f>IF(INGRESOS!$A$2="POSTGRADO",INGRESOS!W63,0)</f>
        <v>0</v>
      </c>
    </row>
    <row r="46" spans="1:11" x14ac:dyDescent="0.25">
      <c r="A46" s="430" t="s">
        <v>93</v>
      </c>
      <c r="B46" s="431"/>
      <c r="C46" s="112">
        <v>0</v>
      </c>
      <c r="D46" s="1"/>
      <c r="E46" s="2">
        <f>-E$43*$C46</f>
        <v>0</v>
      </c>
      <c r="F46" s="2">
        <f t="shared" ref="F46:K47" si="5">-F$43*$C46</f>
        <v>0</v>
      </c>
      <c r="G46" s="2">
        <f t="shared" si="5"/>
        <v>0</v>
      </c>
      <c r="H46" s="2">
        <f t="shared" si="5"/>
        <v>0</v>
      </c>
      <c r="I46" s="2">
        <f t="shared" si="5"/>
        <v>0</v>
      </c>
      <c r="J46" s="2">
        <f t="shared" si="5"/>
        <v>0</v>
      </c>
      <c r="K46" s="2">
        <f t="shared" si="5"/>
        <v>0</v>
      </c>
    </row>
    <row r="47" spans="1:11" x14ac:dyDescent="0.25">
      <c r="A47" s="430" t="s">
        <v>94</v>
      </c>
      <c r="B47" s="431"/>
      <c r="C47" s="112">
        <v>0.1</v>
      </c>
      <c r="D47" s="1"/>
      <c r="E47" s="2">
        <f>-E$43*$C47</f>
        <v>0</v>
      </c>
      <c r="F47" s="2">
        <f t="shared" si="5"/>
        <v>0</v>
      </c>
      <c r="G47" s="2">
        <f t="shared" si="5"/>
        <v>0</v>
      </c>
      <c r="H47" s="2">
        <f t="shared" si="5"/>
        <v>0</v>
      </c>
      <c r="I47" s="2">
        <f t="shared" si="5"/>
        <v>0</v>
      </c>
      <c r="J47" s="2">
        <f t="shared" si="5"/>
        <v>0</v>
      </c>
      <c r="K47" s="2">
        <f t="shared" si="5"/>
        <v>0</v>
      </c>
    </row>
    <row r="48" spans="1:11" x14ac:dyDescent="0.25">
      <c r="A48" s="430" t="s">
        <v>95</v>
      </c>
      <c r="B48" s="431"/>
      <c r="C48" s="113" t="s">
        <v>185</v>
      </c>
      <c r="D48" s="166">
        <f>-IF(SUM(E43:I43)&gt;0,SUM(E48:I48)/SUM(E43:I43),0)</f>
        <v>0</v>
      </c>
      <c r="E48" s="2">
        <f>-IF(INGRESOS!$A$2="POSTGRADO",INGRESOS!Q70,0)</f>
        <v>0</v>
      </c>
      <c r="F48" s="2">
        <f>-IF(INGRESOS!$A$2="POSTGRADO",INGRESOS!R70,0)</f>
        <v>0</v>
      </c>
      <c r="G48" s="2">
        <f>-IF(INGRESOS!$A$2="POSTGRADO",INGRESOS!S70,0)</f>
        <v>0</v>
      </c>
      <c r="H48" s="2">
        <f>-IF(INGRESOS!$A$2="POSTGRADO",INGRESOS!T70,0)</f>
        <v>0</v>
      </c>
      <c r="I48" s="2">
        <f>-IF(INGRESOS!$A$2="POSTGRADO",INGRESOS!U70,0)</f>
        <v>0</v>
      </c>
      <c r="J48" s="2">
        <f>-IF(INGRESOS!$A$2="POSTGRADO",INGRESOS!V70,0)</f>
        <v>0</v>
      </c>
      <c r="K48" s="2">
        <f>-IF(INGRESOS!$A$2="POSTGRADO",INGRESOS!W70,0)</f>
        <v>0</v>
      </c>
    </row>
    <row r="49" spans="1:11" x14ac:dyDescent="0.25">
      <c r="A49" s="428" t="s">
        <v>78</v>
      </c>
      <c r="B49" s="429"/>
      <c r="C49" s="109"/>
      <c r="D49" s="22"/>
      <c r="E49" s="23"/>
      <c r="F49" s="23"/>
      <c r="G49" s="23"/>
      <c r="H49" s="23"/>
      <c r="I49" s="23"/>
      <c r="J49" s="23"/>
      <c r="K49" s="23"/>
    </row>
    <row r="50" spans="1:11" x14ac:dyDescent="0.25">
      <c r="A50" s="430" t="s">
        <v>80</v>
      </c>
      <c r="B50" s="431"/>
      <c r="C50" s="112"/>
      <c r="D50" s="1"/>
      <c r="E50" s="2">
        <f>IF(INGRESOS!$A$2="EXTENSIVA",INGRESOS!Q16,0)</f>
        <v>0</v>
      </c>
      <c r="F50" s="2">
        <f>IF(INGRESOS!$A$2="EXTENSIVA",INGRESOS!R16,0)</f>
        <v>0</v>
      </c>
      <c r="G50" s="2">
        <f>IF(INGRESOS!$A$2="EXTENSIVA",INGRESOS!S16,0)</f>
        <v>0</v>
      </c>
      <c r="H50" s="2">
        <f>IF(INGRESOS!$A$2="EXTENSIVA",INGRESOS!T16,0)</f>
        <v>0</v>
      </c>
      <c r="I50" s="2">
        <f>IF(INGRESOS!$A$2="EXTENSIVA",INGRESOS!U16,0)</f>
        <v>0</v>
      </c>
      <c r="J50" s="2">
        <f>IF(INGRESOS!$A$2="EXTENSIVA",INGRESOS!V16,0)</f>
        <v>0</v>
      </c>
      <c r="K50" s="2">
        <f>IF(INGRESOS!$A$2="EXTENSIVA",INGRESOS!W16,0)</f>
        <v>0</v>
      </c>
    </row>
    <row r="51" spans="1:11" x14ac:dyDescent="0.25">
      <c r="A51" s="430" t="s">
        <v>81</v>
      </c>
      <c r="B51" s="431"/>
      <c r="C51" s="112"/>
      <c r="D51" s="1"/>
      <c r="E51" s="2">
        <f>IF(INGRESOS!$A$2="EXTENSIVA",INGRESOS!Q17,0)</f>
        <v>0</v>
      </c>
      <c r="F51" s="2">
        <f>IF(INGRESOS!$A$2="EXTENSIVA",INGRESOS!R17,0)</f>
        <v>0</v>
      </c>
      <c r="G51" s="2">
        <f>IF(INGRESOS!$A$2="EXTENSIVA",INGRESOS!S17,0)</f>
        <v>0</v>
      </c>
      <c r="H51" s="2">
        <f>IF(INGRESOS!$A$2="EXTENSIVA",INGRESOS!T17,0)</f>
        <v>0</v>
      </c>
      <c r="I51" s="2">
        <f>IF(INGRESOS!$A$2="EXTENSIVA",INGRESOS!U17,0)</f>
        <v>0</v>
      </c>
      <c r="J51" s="2">
        <f>IF(INGRESOS!$A$2="EXTENSIVA",INGRESOS!V17,0)</f>
        <v>0</v>
      </c>
      <c r="K51" s="2">
        <f>IF(INGRESOS!$A$2="EXTENSIVA",INGRESOS!W17,0)</f>
        <v>0</v>
      </c>
    </row>
    <row r="52" spans="1:11" x14ac:dyDescent="0.25">
      <c r="A52" s="430" t="s">
        <v>82</v>
      </c>
      <c r="B52" s="431"/>
      <c r="C52" s="112"/>
      <c r="D52" s="1"/>
      <c r="E52" s="2">
        <f>IF(INGRESOS!$A$2="EXTENSIVA",INGRESOS!Q18,0)</f>
        <v>0</v>
      </c>
      <c r="F52" s="2">
        <f>IF(INGRESOS!$A$2="EXTENSIVA",INGRESOS!R18,0)</f>
        <v>0</v>
      </c>
      <c r="G52" s="2">
        <f>IF(INGRESOS!$A$2="EXTENSIVA",INGRESOS!S18,0)</f>
        <v>0</v>
      </c>
      <c r="H52" s="2">
        <f>IF(INGRESOS!$A$2="EXTENSIVA",INGRESOS!T18,0)</f>
        <v>0</v>
      </c>
      <c r="I52" s="2">
        <f>IF(INGRESOS!$A$2="EXTENSIVA",INGRESOS!U18,0)</f>
        <v>0</v>
      </c>
      <c r="J52" s="2">
        <f>IF(INGRESOS!$A$2="EXTENSIVA",INGRESOS!V18,0)</f>
        <v>0</v>
      </c>
      <c r="K52" s="2">
        <f>IF(INGRESOS!$A$2="EXTENSIVA",INGRESOS!W18,0)</f>
        <v>0</v>
      </c>
    </row>
    <row r="53" spans="1:11" x14ac:dyDescent="0.25">
      <c r="A53" s="430" t="s">
        <v>105</v>
      </c>
      <c r="B53" s="431"/>
      <c r="C53" s="112"/>
      <c r="D53" s="1"/>
      <c r="E53" s="2">
        <f>IF(INGRESOS!$A$2="EXTENSIVA",INGRESOS!Q9,0)</f>
        <v>0</v>
      </c>
      <c r="F53" s="2">
        <f>IF(INGRESOS!$A$2="EXTENSIVA",INGRESOS!R9,0)</f>
        <v>0</v>
      </c>
      <c r="G53" s="2">
        <f>IF(INGRESOS!$A$2="EXTENSIVA",INGRESOS!S9,0)</f>
        <v>0</v>
      </c>
      <c r="H53" s="2">
        <f>IF(INGRESOS!$A$2="EXTENSIVA",INGRESOS!T9,0)</f>
        <v>0</v>
      </c>
      <c r="I53" s="2">
        <f>IF(INGRESOS!$A$2="EXTENSIVA",INGRESOS!U9,0)</f>
        <v>0</v>
      </c>
      <c r="J53" s="2">
        <f>IF(INGRESOS!$A$2="EXTENSIVA",INGRESOS!V9,0)</f>
        <v>0</v>
      </c>
      <c r="K53" s="2">
        <f>IF(INGRESOS!$A$2="EXTENSIVA",INGRESOS!W9,0)</f>
        <v>0</v>
      </c>
    </row>
    <row r="54" spans="1:11" x14ac:dyDescent="0.25">
      <c r="A54" s="430" t="s">
        <v>98</v>
      </c>
      <c r="B54" s="431"/>
      <c r="C54" s="112">
        <v>0</v>
      </c>
      <c r="D54" s="1"/>
      <c r="E54" s="2">
        <f>-(E$50+E$51+E$52)*$C54</f>
        <v>0</v>
      </c>
      <c r="F54" s="2">
        <f t="shared" ref="F54:K55" si="6">-(F$50+F$51+F$52)*$C54</f>
        <v>0</v>
      </c>
      <c r="G54" s="2">
        <f t="shared" si="6"/>
        <v>0</v>
      </c>
      <c r="H54" s="2">
        <f t="shared" si="6"/>
        <v>0</v>
      </c>
      <c r="I54" s="2">
        <f t="shared" si="6"/>
        <v>0</v>
      </c>
      <c r="J54" s="2">
        <f t="shared" si="6"/>
        <v>0</v>
      </c>
      <c r="K54" s="2">
        <f t="shared" si="6"/>
        <v>0</v>
      </c>
    </row>
    <row r="55" spans="1:11" x14ac:dyDescent="0.25">
      <c r="A55" s="430" t="s">
        <v>99</v>
      </c>
      <c r="B55" s="431"/>
      <c r="C55" s="112">
        <v>0.1</v>
      </c>
      <c r="D55" s="1"/>
      <c r="E55" s="2">
        <f>-(E$50+E$51+E$52)*$C55</f>
        <v>0</v>
      </c>
      <c r="F55" s="2">
        <f t="shared" si="6"/>
        <v>0</v>
      </c>
      <c r="G55" s="2">
        <f t="shared" si="6"/>
        <v>0</v>
      </c>
      <c r="H55" s="2">
        <f t="shared" si="6"/>
        <v>0</v>
      </c>
      <c r="I55" s="2">
        <f t="shared" si="6"/>
        <v>0</v>
      </c>
      <c r="J55" s="2">
        <f t="shared" si="6"/>
        <v>0</v>
      </c>
      <c r="K55" s="2">
        <f t="shared" si="6"/>
        <v>0</v>
      </c>
    </row>
    <row r="56" spans="1:11" x14ac:dyDescent="0.25">
      <c r="A56" s="430" t="s">
        <v>100</v>
      </c>
      <c r="B56" s="431"/>
      <c r="C56" s="113" t="s">
        <v>185</v>
      </c>
      <c r="D56" s="166">
        <f>-IF(SUM(E50:I52)&gt;0,SUM(E56:I56)/SUM(E50:I52),0)</f>
        <v>0</v>
      </c>
      <c r="E56" s="2">
        <f>-IF(INGRESOS!$A$2="EXTENSIVA",INGRESOS!Q70,0)</f>
        <v>0</v>
      </c>
      <c r="F56" s="2">
        <f>-IF(INGRESOS!$A$2="EXTENSIVA",INGRESOS!R70,0)</f>
        <v>0</v>
      </c>
      <c r="G56" s="2">
        <f>-IF(INGRESOS!$A$2="EXTENSIVA",INGRESOS!S70,0)</f>
        <v>0</v>
      </c>
      <c r="H56" s="2">
        <f>-IF(INGRESOS!$A$2="EXTENSIVA",INGRESOS!T70,0)</f>
        <v>0</v>
      </c>
      <c r="I56" s="2">
        <f>-IF(INGRESOS!$A$2="EXTENSIVA",INGRESOS!U70,0)</f>
        <v>0</v>
      </c>
      <c r="J56" s="2">
        <f>-IF(INGRESOS!$A$2="EXTENSIVA",INGRESOS!V70,0)</f>
        <v>0</v>
      </c>
      <c r="K56" s="2">
        <f>-IF(INGRESOS!$A$2="EXTENSIVA",INGRESOS!W70,0)</f>
        <v>0</v>
      </c>
    </row>
    <row r="57" spans="1:11" x14ac:dyDescent="0.25">
      <c r="A57" s="428" t="s">
        <v>79</v>
      </c>
      <c r="B57" s="429"/>
      <c r="C57" s="109"/>
      <c r="D57" s="22"/>
      <c r="E57" s="23"/>
      <c r="F57" s="23"/>
      <c r="G57" s="23"/>
      <c r="H57" s="23"/>
      <c r="I57" s="23"/>
      <c r="J57" s="23"/>
      <c r="K57" s="23"/>
    </row>
    <row r="58" spans="1:11" x14ac:dyDescent="0.25">
      <c r="A58" s="430" t="s">
        <v>83</v>
      </c>
      <c r="B58" s="431"/>
      <c r="C58" s="112"/>
      <c r="D58" s="1"/>
      <c r="E58" s="2">
        <f>IF(INGRESOS!$A$2="CONTINUADA",INGRESOS!Q19,0)</f>
        <v>0</v>
      </c>
      <c r="F58" s="2">
        <f>IF(INGRESOS!$A$2="CONTINUADA",INGRESOS!R19,0)</f>
        <v>0</v>
      </c>
      <c r="G58" s="2">
        <f>IF(INGRESOS!$A$2="CONTINUADA",INGRESOS!S19,0)</f>
        <v>0</v>
      </c>
      <c r="H58" s="2">
        <f>IF(INGRESOS!$A$2="CONTINUADA",INGRESOS!T19,0)</f>
        <v>0</v>
      </c>
      <c r="I58" s="2">
        <f>IF(INGRESOS!$A$2="CONTINUADA",INGRESOS!U19,0)</f>
        <v>0</v>
      </c>
      <c r="J58" s="2">
        <f>IF(INGRESOS!$A$2="CONTINUADA",INGRESOS!V19,0)</f>
        <v>0</v>
      </c>
      <c r="K58" s="2">
        <f>IF(INGRESOS!$A$2="CONTINUADA",INGRESOS!W19,0)</f>
        <v>0</v>
      </c>
    </row>
    <row r="59" spans="1:11" x14ac:dyDescent="0.25">
      <c r="A59" s="430" t="s">
        <v>84</v>
      </c>
      <c r="B59" s="431"/>
      <c r="C59" s="112"/>
      <c r="D59" s="1"/>
      <c r="E59" s="2">
        <f>IF(INGRESOS!$A$2="CONTINUADA",INGRESOS!Q20,0)</f>
        <v>0</v>
      </c>
      <c r="F59" s="2">
        <f>IF(INGRESOS!$A$2="CONTINUADA",INGRESOS!R20,0)</f>
        <v>0</v>
      </c>
      <c r="G59" s="2">
        <f>IF(INGRESOS!$A$2="CONTINUADA",INGRESOS!S20,0)</f>
        <v>0</v>
      </c>
      <c r="H59" s="2">
        <f>IF(INGRESOS!$A$2="CONTINUADA",INGRESOS!T20,0)</f>
        <v>0</v>
      </c>
      <c r="I59" s="2">
        <f>IF(INGRESOS!$A$2="CONTINUADA",INGRESOS!U20,0)</f>
        <v>0</v>
      </c>
      <c r="J59" s="2">
        <f>IF(INGRESOS!$A$2="CONTINUADA",INGRESOS!V20,0)</f>
        <v>0</v>
      </c>
      <c r="K59" s="2">
        <f>IF(INGRESOS!$A$2="CONTINUADA",INGRESOS!W20,0)</f>
        <v>0</v>
      </c>
    </row>
    <row r="60" spans="1:11" x14ac:dyDescent="0.25">
      <c r="A60" s="430" t="s">
        <v>85</v>
      </c>
      <c r="B60" s="431"/>
      <c r="C60" s="112"/>
      <c r="D60" s="1"/>
      <c r="E60" s="2">
        <f>IF(INGRESOS!$A$2="CONTINUADA",INGRESOS!Q21,0)</f>
        <v>0</v>
      </c>
      <c r="F60" s="2">
        <f>IF(INGRESOS!$A$2="CONTINUADA",INGRESOS!R21,0)</f>
        <v>0</v>
      </c>
      <c r="G60" s="2">
        <f>IF(INGRESOS!$A$2="CONTINUADA",INGRESOS!S21,0)</f>
        <v>0</v>
      </c>
      <c r="H60" s="2">
        <f>IF(INGRESOS!$A$2="CONTINUADA",INGRESOS!T21,0)</f>
        <v>0</v>
      </c>
      <c r="I60" s="2">
        <f>IF(INGRESOS!$A$2="CONTINUADA",INGRESOS!U21,0)</f>
        <v>0</v>
      </c>
      <c r="J60" s="2">
        <f>IF(INGRESOS!$A$2="CONTINUADA",INGRESOS!V21,0)</f>
        <v>0</v>
      </c>
      <c r="K60" s="2">
        <f>IF(INGRESOS!$A$2="CONTINUADA",INGRESOS!W21,0)</f>
        <v>0</v>
      </c>
    </row>
    <row r="61" spans="1:11" x14ac:dyDescent="0.25">
      <c r="A61" s="430" t="s">
        <v>86</v>
      </c>
      <c r="B61" s="431"/>
      <c r="C61" s="112"/>
      <c r="D61" s="1"/>
      <c r="E61" s="2">
        <f>IF(INGRESOS!$A$2="CONTINUADA",INGRESOS!Q22,0)</f>
        <v>0</v>
      </c>
      <c r="F61" s="2">
        <f>IF(INGRESOS!$A$2="CONTINUADA",INGRESOS!R22,0)</f>
        <v>0</v>
      </c>
      <c r="G61" s="2">
        <f>IF(INGRESOS!$A$2="CONTINUADA",INGRESOS!S22,0)</f>
        <v>0</v>
      </c>
      <c r="H61" s="2">
        <f>IF(INGRESOS!$A$2="CONTINUADA",INGRESOS!T22,0)</f>
        <v>0</v>
      </c>
      <c r="I61" s="2">
        <f>IF(INGRESOS!$A$2="CONTINUADA",INGRESOS!U22,0)</f>
        <v>0</v>
      </c>
      <c r="J61" s="2">
        <f>IF(INGRESOS!$A$2="CONTINUADA",INGRESOS!V22,0)</f>
        <v>0</v>
      </c>
      <c r="K61" s="2">
        <f>IF(INGRESOS!$A$2="CONTINUADA",INGRESOS!W22,0)</f>
        <v>0</v>
      </c>
    </row>
    <row r="62" spans="1:11" x14ac:dyDescent="0.25">
      <c r="A62" s="430" t="s">
        <v>106</v>
      </c>
      <c r="B62" s="431"/>
      <c r="C62" s="112">
        <v>0</v>
      </c>
      <c r="D62" s="1"/>
      <c r="E62" s="2">
        <f>-(E$58+E$59+E$60+E$61)*$C62</f>
        <v>0</v>
      </c>
      <c r="F62" s="2">
        <f t="shared" ref="F62:K63" si="7">-(F$58+F$59+F$60+F$61)*$C62</f>
        <v>0</v>
      </c>
      <c r="G62" s="2">
        <f t="shared" si="7"/>
        <v>0</v>
      </c>
      <c r="H62" s="2">
        <f t="shared" si="7"/>
        <v>0</v>
      </c>
      <c r="I62" s="2">
        <f t="shared" si="7"/>
        <v>0</v>
      </c>
      <c r="J62" s="2">
        <f t="shared" si="7"/>
        <v>0</v>
      </c>
      <c r="K62" s="2">
        <f t="shared" si="7"/>
        <v>0</v>
      </c>
    </row>
    <row r="63" spans="1:11" x14ac:dyDescent="0.25">
      <c r="A63" s="430" t="s">
        <v>107</v>
      </c>
      <c r="B63" s="431"/>
      <c r="C63" s="112">
        <v>0.1</v>
      </c>
      <c r="D63" s="1"/>
      <c r="E63" s="2">
        <f>-(E$58+E$59+E$60+E$61)*$C63</f>
        <v>0</v>
      </c>
      <c r="F63" s="2">
        <f t="shared" si="7"/>
        <v>0</v>
      </c>
      <c r="G63" s="2">
        <f t="shared" si="7"/>
        <v>0</v>
      </c>
      <c r="H63" s="2">
        <f t="shared" si="7"/>
        <v>0</v>
      </c>
      <c r="I63" s="2">
        <f t="shared" si="7"/>
        <v>0</v>
      </c>
      <c r="J63" s="2">
        <f t="shared" si="7"/>
        <v>0</v>
      </c>
      <c r="K63" s="2">
        <f t="shared" si="7"/>
        <v>0</v>
      </c>
    </row>
    <row r="64" spans="1:11" x14ac:dyDescent="0.25">
      <c r="A64" s="430" t="s">
        <v>108</v>
      </c>
      <c r="B64" s="431"/>
      <c r="C64" s="113" t="s">
        <v>185</v>
      </c>
      <c r="D64" s="166">
        <f>-IF(SUM(E58:I61)&gt;0,SUM(E64:I64)/SUM(E58:I61),0)</f>
        <v>0</v>
      </c>
      <c r="E64" s="2">
        <f>-IF(INGRESOS!$A$2="CONTINUADA",INGRESOS!Q70,0)</f>
        <v>0</v>
      </c>
      <c r="F64" s="2">
        <f>-IF(INGRESOS!$A$2="CONTINUADA",INGRESOS!R70,0)</f>
        <v>0</v>
      </c>
      <c r="G64" s="2">
        <f>-IF(INGRESOS!$A$2="CONTINUADA",INGRESOS!S70,0)</f>
        <v>0</v>
      </c>
      <c r="H64" s="2">
        <f>-IF(INGRESOS!$A$2="CONTINUADA",INGRESOS!T70,0)</f>
        <v>0</v>
      </c>
      <c r="I64" s="2">
        <f>-IF(INGRESOS!$A$2="CONTINUADA",INGRESOS!U70,0)</f>
        <v>0</v>
      </c>
      <c r="J64" s="2">
        <f>-IF(INGRESOS!$A$2="CONTINUADA",INGRESOS!V70,0)</f>
        <v>0</v>
      </c>
      <c r="K64" s="2">
        <f>-IF(INGRESOS!$A$2="CONTINUADA",INGRESOS!W70,0)</f>
        <v>0</v>
      </c>
    </row>
    <row r="65" spans="1:13" x14ac:dyDescent="0.25">
      <c r="A65" s="428" t="s">
        <v>120</v>
      </c>
      <c r="B65" s="429"/>
      <c r="C65" s="109"/>
      <c r="D65" s="22"/>
      <c r="E65" s="23"/>
      <c r="F65" s="23"/>
      <c r="G65" s="23"/>
      <c r="H65" s="23"/>
      <c r="I65" s="23"/>
      <c r="J65" s="23"/>
      <c r="K65" s="23"/>
    </row>
    <row r="66" spans="1:13" x14ac:dyDescent="0.25">
      <c r="A66" s="430" t="s">
        <v>10</v>
      </c>
      <c r="B66" s="431"/>
      <c r="C66" s="112"/>
      <c r="D66" s="1"/>
      <c r="E66" s="2">
        <f>INGRESOS!Q77</f>
        <v>0</v>
      </c>
      <c r="F66" s="2">
        <f>INGRESOS!R77</f>
        <v>0</v>
      </c>
      <c r="G66" s="2">
        <f>INGRESOS!S77</f>
        <v>0</v>
      </c>
      <c r="H66" s="2">
        <f>INGRESOS!T77</f>
        <v>0</v>
      </c>
      <c r="I66" s="2">
        <f>INGRESOS!U77</f>
        <v>0</v>
      </c>
      <c r="J66" s="2">
        <f>INGRESOS!V77</f>
        <v>0</v>
      </c>
      <c r="K66" s="2">
        <f>INGRESOS!W77</f>
        <v>0</v>
      </c>
    </row>
    <row r="67" spans="1:13" x14ac:dyDescent="0.25">
      <c r="A67" s="430" t="s">
        <v>121</v>
      </c>
      <c r="B67" s="431"/>
      <c r="C67" s="112"/>
      <c r="D67" s="1"/>
      <c r="E67" s="2">
        <f>INGRESOS!Q78</f>
        <v>0</v>
      </c>
      <c r="F67" s="2">
        <f>INGRESOS!R78</f>
        <v>0</v>
      </c>
      <c r="G67" s="2">
        <f>INGRESOS!S78</f>
        <v>0</v>
      </c>
      <c r="H67" s="2">
        <f>INGRESOS!T78</f>
        <v>0</v>
      </c>
      <c r="I67" s="2">
        <f>INGRESOS!U78</f>
        <v>0</v>
      </c>
      <c r="J67" s="2">
        <f>INGRESOS!V78</f>
        <v>0</v>
      </c>
      <c r="K67" s="2">
        <f>INGRESOS!W78</f>
        <v>0</v>
      </c>
    </row>
    <row r="68" spans="1:13" x14ac:dyDescent="0.25">
      <c r="A68" s="428" t="s">
        <v>109</v>
      </c>
      <c r="B68" s="429"/>
      <c r="C68" s="109"/>
      <c r="D68" s="22"/>
      <c r="E68" s="23"/>
      <c r="F68" s="23"/>
      <c r="G68" s="23"/>
      <c r="H68" s="23"/>
      <c r="I68" s="23"/>
      <c r="J68" s="23"/>
      <c r="K68" s="23"/>
    </row>
    <row r="69" spans="1:13" x14ac:dyDescent="0.25">
      <c r="A69" s="430" t="s">
        <v>114</v>
      </c>
      <c r="B69" s="431"/>
      <c r="C69" s="112"/>
      <c r="D69" s="1"/>
      <c r="E69" s="2">
        <f>INGRESOS!Q85</f>
        <v>0</v>
      </c>
      <c r="F69" s="2">
        <f>INGRESOS!R85</f>
        <v>0</v>
      </c>
      <c r="G69" s="2">
        <f>INGRESOS!S85</f>
        <v>0</v>
      </c>
      <c r="H69" s="2">
        <f>INGRESOS!T85</f>
        <v>0</v>
      </c>
      <c r="I69" s="2">
        <f>INGRESOS!U85</f>
        <v>0</v>
      </c>
      <c r="J69" s="2">
        <f>INGRESOS!V85</f>
        <v>0</v>
      </c>
      <c r="K69" s="2">
        <f>INGRESOS!W85</f>
        <v>0</v>
      </c>
    </row>
    <row r="70" spans="1:13" x14ac:dyDescent="0.25">
      <c r="A70" s="430" t="s">
        <v>115</v>
      </c>
      <c r="B70" s="431"/>
      <c r="C70" s="112"/>
      <c r="D70" s="1"/>
      <c r="E70" s="2">
        <f>INGRESOS!Q86</f>
        <v>0</v>
      </c>
      <c r="F70" s="2">
        <f>INGRESOS!R86</f>
        <v>0</v>
      </c>
      <c r="G70" s="2">
        <f>INGRESOS!S86</f>
        <v>0</v>
      </c>
      <c r="H70" s="2">
        <f>INGRESOS!T86</f>
        <v>0</v>
      </c>
      <c r="I70" s="2">
        <f>INGRESOS!U86</f>
        <v>0</v>
      </c>
      <c r="J70" s="2">
        <f>INGRESOS!V86</f>
        <v>0</v>
      </c>
      <c r="K70" s="2">
        <f>INGRESOS!W86</f>
        <v>0</v>
      </c>
    </row>
    <row r="71" spans="1:13" x14ac:dyDescent="0.25">
      <c r="A71" s="430" t="s">
        <v>111</v>
      </c>
      <c r="B71" s="431"/>
      <c r="C71" s="112"/>
      <c r="D71" s="1"/>
      <c r="E71" s="2">
        <f>INGRESOS!Q87</f>
        <v>0</v>
      </c>
      <c r="F71" s="2">
        <f>INGRESOS!R87</f>
        <v>0</v>
      </c>
      <c r="G71" s="2">
        <f>INGRESOS!S87</f>
        <v>0</v>
      </c>
      <c r="H71" s="2">
        <f>INGRESOS!T87</f>
        <v>0</v>
      </c>
      <c r="I71" s="2">
        <f>INGRESOS!U87</f>
        <v>0</v>
      </c>
      <c r="J71" s="2">
        <f>INGRESOS!V87</f>
        <v>0</v>
      </c>
      <c r="K71" s="2">
        <f>INGRESOS!W87</f>
        <v>0</v>
      </c>
    </row>
    <row r="72" spans="1:13" x14ac:dyDescent="0.25">
      <c r="A72" s="430" t="s">
        <v>113</v>
      </c>
      <c r="B72" s="431"/>
      <c r="C72" s="112"/>
      <c r="D72" s="1"/>
      <c r="E72" s="2">
        <f>INGRESOS!Q88</f>
        <v>0</v>
      </c>
      <c r="F72" s="2">
        <f>INGRESOS!R88</f>
        <v>0</v>
      </c>
      <c r="G72" s="2">
        <f>INGRESOS!S88</f>
        <v>0</v>
      </c>
      <c r="H72" s="2">
        <f>INGRESOS!T88</f>
        <v>0</v>
      </c>
      <c r="I72" s="2">
        <f>INGRESOS!U88</f>
        <v>0</v>
      </c>
      <c r="J72" s="2">
        <f>INGRESOS!V88</f>
        <v>0</v>
      </c>
      <c r="K72" s="2">
        <f>INGRESOS!W88</f>
        <v>0</v>
      </c>
    </row>
    <row r="73" spans="1:13" x14ac:dyDescent="0.25">
      <c r="A73" s="430" t="s">
        <v>112</v>
      </c>
      <c r="B73" s="431"/>
      <c r="C73" s="112"/>
      <c r="D73" s="1"/>
      <c r="E73" s="2">
        <f>INGRESOS!Q89</f>
        <v>0</v>
      </c>
      <c r="F73" s="2">
        <f>INGRESOS!R89</f>
        <v>0</v>
      </c>
      <c r="G73" s="2">
        <f>INGRESOS!S89</f>
        <v>0</v>
      </c>
      <c r="H73" s="2">
        <f>INGRESOS!T89</f>
        <v>0</v>
      </c>
      <c r="I73" s="2">
        <f>INGRESOS!U89</f>
        <v>0</v>
      </c>
      <c r="J73" s="2">
        <f>INGRESOS!V89</f>
        <v>0</v>
      </c>
      <c r="K73" s="2">
        <f>INGRESOS!W89</f>
        <v>0</v>
      </c>
    </row>
    <row r="74" spans="1:13" x14ac:dyDescent="0.25">
      <c r="A74" s="430" t="s">
        <v>110</v>
      </c>
      <c r="B74" s="431"/>
      <c r="C74" s="112"/>
      <c r="D74" s="1"/>
      <c r="E74" s="2">
        <f>INGRESOS!Q90</f>
        <v>0</v>
      </c>
      <c r="F74" s="2">
        <f>INGRESOS!R90</f>
        <v>0</v>
      </c>
      <c r="G74" s="2">
        <f>INGRESOS!S90</f>
        <v>0</v>
      </c>
      <c r="H74" s="2">
        <f>INGRESOS!T90</f>
        <v>0</v>
      </c>
      <c r="I74" s="2">
        <f>INGRESOS!U90</f>
        <v>0</v>
      </c>
      <c r="J74" s="2">
        <f>INGRESOS!V90</f>
        <v>0</v>
      </c>
      <c r="K74" s="2">
        <f>INGRESOS!W90</f>
        <v>0</v>
      </c>
    </row>
    <row r="75" spans="1:13" ht="16.5" thickBot="1" x14ac:dyDescent="0.3">
      <c r="A75" s="434" t="s">
        <v>11</v>
      </c>
      <c r="B75" s="435"/>
      <c r="C75" s="222"/>
      <c r="D75" s="223"/>
      <c r="E75" s="164">
        <f t="shared" ref="E75:K75" si="8">SUM(E18:E74)</f>
        <v>0</v>
      </c>
      <c r="F75" s="165">
        <f t="shared" si="8"/>
        <v>0</v>
      </c>
      <c r="G75" s="165">
        <f t="shared" si="8"/>
        <v>0</v>
      </c>
      <c r="H75" s="165">
        <f t="shared" si="8"/>
        <v>0</v>
      </c>
      <c r="I75" s="165">
        <f t="shared" si="8"/>
        <v>0</v>
      </c>
      <c r="J75" s="165">
        <f t="shared" si="8"/>
        <v>0</v>
      </c>
      <c r="K75" s="165">
        <f t="shared" si="8"/>
        <v>0</v>
      </c>
      <c r="M75" s="142">
        <f>SUM(E75:L75)</f>
        <v>0</v>
      </c>
    </row>
    <row r="76" spans="1:13" x14ac:dyDescent="0.25">
      <c r="A76" s="360"/>
      <c r="B76" s="24"/>
      <c r="C76" s="25"/>
      <c r="D76" s="26"/>
      <c r="E76" s="26"/>
      <c r="F76" s="207"/>
      <c r="G76" s="207"/>
      <c r="H76" s="207"/>
      <c r="I76" s="207"/>
      <c r="J76" s="207"/>
      <c r="K76" s="377"/>
    </row>
    <row r="77" spans="1:13" x14ac:dyDescent="0.25">
      <c r="A77" s="224"/>
      <c r="B77" s="225"/>
      <c r="C77" s="225"/>
      <c r="D77" s="121" t="s">
        <v>306</v>
      </c>
      <c r="E77" s="265"/>
      <c r="F77" s="352">
        <f>IF(INGRESOS!$J$5=INGRESOS!$AA$3,IF(INGRESOS!$J$25&gt;0,IF(INGRESOS!$J$25=1,0.5,1),0),1)</f>
        <v>1</v>
      </c>
      <c r="G77" s="353">
        <f>IF(INGRESOS!$J$5=INGRESOS!$AA$3,IF(INGRESOS!$J$25&gt;2,IF(INGRESOS!$J$25=3,0.5,1),0),1)</f>
        <v>1</v>
      </c>
      <c r="H77" s="353">
        <f>IF(INGRESOS!$J$5=INGRESOS!$AA$3,IF(INGRESOS!$J$25&gt;4,IF(INGRESOS!$J$25=5,0.5,1),0),1)</f>
        <v>1</v>
      </c>
      <c r="I77" s="353">
        <f>IF(INGRESOS!$J$5=INGRESOS!$AA$3,IF(INGRESOS!$J$25&gt;6,IF(INGRESOS!$J$25=7,0.5,1),0),1)</f>
        <v>1</v>
      </c>
      <c r="J77" s="353">
        <f>IF(INGRESOS!$J$5=INGRESOS!$AA$3,IF(INGRESOS!$J$25&gt;8,IF(INGRESOS!$J$25=9,0.5,1),0),1)</f>
        <v>1</v>
      </c>
      <c r="K77" s="354">
        <f>IF(INGRESOS!$J$5=INGRESOS!$AA$3,IF(INGRESOS!$J$25&gt;10,IF(INGRESOS!$J$25=11,0.5,1),0),1)</f>
        <v>1</v>
      </c>
    </row>
    <row r="78" spans="1:13" x14ac:dyDescent="0.25">
      <c r="A78" s="378"/>
      <c r="B78" s="379"/>
      <c r="C78" s="379"/>
      <c r="D78" s="380" t="s">
        <v>307</v>
      </c>
      <c r="E78" s="379"/>
      <c r="F78" s="381">
        <v>0.05</v>
      </c>
      <c r="G78" s="381">
        <v>0.05</v>
      </c>
      <c r="H78" s="381">
        <v>0.05</v>
      </c>
      <c r="I78" s="381">
        <v>0.05</v>
      </c>
      <c r="J78" s="381">
        <v>0.05</v>
      </c>
      <c r="K78" s="381">
        <v>0.05</v>
      </c>
    </row>
    <row r="79" spans="1:13" ht="15.75" x14ac:dyDescent="0.25">
      <c r="A79" s="410" t="s">
        <v>12</v>
      </c>
      <c r="B79" s="411"/>
      <c r="C79" s="411"/>
      <c r="D79" s="411"/>
      <c r="E79" s="411"/>
      <c r="F79" s="411"/>
      <c r="G79" s="411"/>
      <c r="H79" s="411"/>
      <c r="I79" s="411"/>
      <c r="J79" s="411"/>
      <c r="K79" s="412"/>
    </row>
    <row r="80" spans="1:13" x14ac:dyDescent="0.25">
      <c r="A80" s="436" t="s">
        <v>289</v>
      </c>
      <c r="B80" s="437"/>
      <c r="C80" s="452"/>
      <c r="D80" s="453"/>
      <c r="E80" s="453"/>
      <c r="F80" s="453"/>
      <c r="G80" s="453"/>
      <c r="H80" s="453"/>
      <c r="I80" s="453"/>
      <c r="J80" s="453"/>
      <c r="K80" s="454"/>
    </row>
    <row r="81" spans="1:11" x14ac:dyDescent="0.25">
      <c r="A81" s="430" t="s">
        <v>122</v>
      </c>
      <c r="B81" s="431"/>
      <c r="C81" s="110"/>
      <c r="D81" s="4"/>
      <c r="E81" s="2">
        <f>'COSTOS Y GASTOS'!E8</f>
        <v>0</v>
      </c>
      <c r="F81" s="2">
        <f t="shared" ref="F81:K81" si="9">+E81*(1+F$78)*F$77</f>
        <v>0</v>
      </c>
      <c r="G81" s="2">
        <f t="shared" si="9"/>
        <v>0</v>
      </c>
      <c r="H81" s="2">
        <f t="shared" si="9"/>
        <v>0</v>
      </c>
      <c r="I81" s="2">
        <f t="shared" si="9"/>
        <v>0</v>
      </c>
      <c r="J81" s="2">
        <f t="shared" si="9"/>
        <v>0</v>
      </c>
      <c r="K81" s="2">
        <f t="shared" si="9"/>
        <v>0</v>
      </c>
    </row>
    <row r="82" spans="1:11" x14ac:dyDescent="0.25">
      <c r="A82" s="430" t="s">
        <v>128</v>
      </c>
      <c r="B82" s="431"/>
      <c r="C82" s="110"/>
      <c r="D82" s="4"/>
      <c r="E82" s="2">
        <f>'COSTOS Y GASTOS'!F8</f>
        <v>0</v>
      </c>
      <c r="F82" s="2">
        <f t="shared" ref="F82:H83" si="10">+E82*(1+F$78)*F$77</f>
        <v>0</v>
      </c>
      <c r="G82" s="2">
        <f t="shared" si="10"/>
        <v>0</v>
      </c>
      <c r="H82" s="2">
        <f t="shared" si="10"/>
        <v>0</v>
      </c>
      <c r="I82" s="2">
        <f t="shared" ref="I82:K83" si="11">+H82*(1+I$78)*I$77</f>
        <v>0</v>
      </c>
      <c r="J82" s="2">
        <f t="shared" si="11"/>
        <v>0</v>
      </c>
      <c r="K82" s="2">
        <f t="shared" si="11"/>
        <v>0</v>
      </c>
    </row>
    <row r="83" spans="1:11" x14ac:dyDescent="0.25">
      <c r="A83" s="430" t="s">
        <v>127</v>
      </c>
      <c r="B83" s="431"/>
      <c r="C83" s="110"/>
      <c r="D83" s="4"/>
      <c r="E83" s="2">
        <f>'COSTOS Y GASTOS'!D16</f>
        <v>0</v>
      </c>
      <c r="F83" s="2">
        <f t="shared" si="10"/>
        <v>0</v>
      </c>
      <c r="G83" s="2">
        <f>+F83*(1+G$78)*G$77</f>
        <v>0</v>
      </c>
      <c r="H83" s="2">
        <f t="shared" si="10"/>
        <v>0</v>
      </c>
      <c r="I83" s="2">
        <f t="shared" si="11"/>
        <v>0</v>
      </c>
      <c r="J83" s="2">
        <f t="shared" si="11"/>
        <v>0</v>
      </c>
      <c r="K83" s="2">
        <f t="shared" si="11"/>
        <v>0</v>
      </c>
    </row>
    <row r="84" spans="1:11" x14ac:dyDescent="0.25">
      <c r="A84" s="436" t="s">
        <v>290</v>
      </c>
      <c r="B84" s="437"/>
      <c r="C84" s="452"/>
      <c r="D84" s="453"/>
      <c r="E84" s="453"/>
      <c r="F84" s="453"/>
      <c r="G84" s="453"/>
      <c r="H84" s="453"/>
      <c r="I84" s="453"/>
      <c r="J84" s="453"/>
      <c r="K84" s="454"/>
    </row>
    <row r="85" spans="1:11" x14ac:dyDescent="0.25">
      <c r="A85" s="430" t="s">
        <v>123</v>
      </c>
      <c r="B85" s="431"/>
      <c r="C85" s="110"/>
      <c r="D85" s="4"/>
      <c r="E85" s="2">
        <f>'DOCENTE CONTRATO ESPECIAL'!$D5</f>
        <v>0</v>
      </c>
      <c r="F85" s="2">
        <f>'DOCENTE CONTRATO ESPECIAL'!$D6</f>
        <v>0</v>
      </c>
      <c r="G85" s="2">
        <f>'DOCENTE CONTRATO ESPECIAL'!$D7</f>
        <v>0</v>
      </c>
      <c r="H85" s="2">
        <f>'DOCENTE CONTRATO ESPECIAL'!$D8</f>
        <v>0</v>
      </c>
      <c r="I85" s="2">
        <f>'DOCENTE CONTRATO ESPECIAL'!$D9</f>
        <v>0</v>
      </c>
      <c r="J85" s="2">
        <f>'DOCENTE CONTRATO ESPECIAL'!$D10</f>
        <v>0</v>
      </c>
      <c r="K85" s="2">
        <f>'DOCENTE CONTRATO ESPECIAL'!$D11</f>
        <v>0</v>
      </c>
    </row>
    <row r="86" spans="1:11" x14ac:dyDescent="0.25">
      <c r="A86" s="430" t="s">
        <v>129</v>
      </c>
      <c r="B86" s="431"/>
      <c r="C86" s="110"/>
      <c r="D86" s="4"/>
      <c r="E86" s="5">
        <f>'DOCENTE CONTRATO ESPECIAL'!$D15</f>
        <v>0</v>
      </c>
      <c r="F86" s="5">
        <f>'DOCENTE CONTRATO ESPECIAL'!$D16</f>
        <v>0</v>
      </c>
      <c r="G86" s="5">
        <f>'DOCENTE CONTRATO ESPECIAL'!$D17</f>
        <v>0</v>
      </c>
      <c r="H86" s="5">
        <f>'DOCENTE CONTRATO ESPECIAL'!$D18</f>
        <v>0</v>
      </c>
      <c r="I86" s="5">
        <f>'DOCENTE CONTRATO ESPECIAL'!$D19</f>
        <v>0</v>
      </c>
      <c r="J86" s="5">
        <f>'DOCENTE CONTRATO ESPECIAL'!$D20</f>
        <v>0</v>
      </c>
      <c r="K86" s="5">
        <f>'DOCENTE CONTRATO ESPECIAL'!$D21</f>
        <v>0</v>
      </c>
    </row>
    <row r="87" spans="1:11" x14ac:dyDescent="0.25">
      <c r="A87" s="430" t="s">
        <v>124</v>
      </c>
      <c r="B87" s="431"/>
      <c r="C87" s="110"/>
      <c r="D87" s="4"/>
      <c r="E87" s="2">
        <f>'DOCENTE CONTRATO ESPECIAL'!$D25</f>
        <v>0</v>
      </c>
      <c r="F87" s="2">
        <f>'DOCENTE CONTRATO ESPECIAL'!$D26</f>
        <v>0</v>
      </c>
      <c r="G87" s="2">
        <f>'DOCENTE CONTRATO ESPECIAL'!$D27</f>
        <v>0</v>
      </c>
      <c r="H87" s="2">
        <f>'DOCENTE CONTRATO ESPECIAL'!$D28</f>
        <v>0</v>
      </c>
      <c r="I87" s="2">
        <f>'DOCENTE CONTRATO ESPECIAL'!$D29</f>
        <v>0</v>
      </c>
      <c r="J87" s="2">
        <f>'DOCENTE CONTRATO ESPECIAL'!$D29</f>
        <v>0</v>
      </c>
      <c r="K87" s="2">
        <f>'DOCENTE CONTRATO ESPECIAL'!$D29</f>
        <v>0</v>
      </c>
    </row>
    <row r="88" spans="1:11" x14ac:dyDescent="0.25">
      <c r="A88" s="430" t="s">
        <v>125</v>
      </c>
      <c r="B88" s="431"/>
      <c r="C88" s="110"/>
      <c r="D88" s="4"/>
      <c r="E88" s="2">
        <f>'DOCENTE CONTRATO ESPECIAL'!$D35</f>
        <v>0</v>
      </c>
      <c r="F88" s="2">
        <f>'DOCENTE CONTRATO ESPECIAL'!$D36</f>
        <v>0</v>
      </c>
      <c r="G88" s="2">
        <f>'DOCENTE CONTRATO ESPECIAL'!$D37</f>
        <v>0</v>
      </c>
      <c r="H88" s="2">
        <f>'DOCENTE CONTRATO ESPECIAL'!$D38</f>
        <v>0</v>
      </c>
      <c r="I88" s="2">
        <f>'DOCENTE CONTRATO ESPECIAL'!$D39</f>
        <v>0</v>
      </c>
      <c r="J88" s="2">
        <f>'DOCENTE CONTRATO ESPECIAL'!$D39</f>
        <v>0</v>
      </c>
      <c r="K88" s="2">
        <f>'DOCENTE CONTRATO ESPECIAL'!$D39</f>
        <v>0</v>
      </c>
    </row>
    <row r="89" spans="1:11" x14ac:dyDescent="0.25">
      <c r="A89" s="430" t="s">
        <v>126</v>
      </c>
      <c r="B89" s="431"/>
      <c r="C89" s="110"/>
      <c r="D89" s="4"/>
      <c r="E89" s="2">
        <f>IF(INGRESOS!$A$2="POSTGRADO",0,'COSTOS Y GASTOS'!$E29)</f>
        <v>0</v>
      </c>
      <c r="F89" s="2">
        <f>IF(INGRESOS!$A$2="POSTGRADO",0,'COSTOS Y GASTOS'!$E30)</f>
        <v>0</v>
      </c>
      <c r="G89" s="2">
        <f>IF(INGRESOS!$A$2="POSTGRADO",0,'COSTOS Y GASTOS'!$E31)</f>
        <v>0</v>
      </c>
      <c r="H89" s="2">
        <f>IF(INGRESOS!$A$2="POSTGRADO",0,'COSTOS Y GASTOS'!$E32)</f>
        <v>0</v>
      </c>
      <c r="I89" s="2">
        <f>IF(INGRESOS!$A$2="POSTGRADO",0,'COSTOS Y GASTOS'!$E33)</f>
        <v>0</v>
      </c>
      <c r="J89" s="2">
        <f>IF(INGRESOS!$A$2="POSTGRADO",0,'COSTOS Y GASTOS'!$E34)</f>
        <v>0</v>
      </c>
      <c r="K89" s="2">
        <f>IF(INGRESOS!$A$2="POSTGRADO",0,'COSTOS Y GASTOS'!$E35)</f>
        <v>0</v>
      </c>
    </row>
    <row r="90" spans="1:11" x14ac:dyDescent="0.25">
      <c r="A90" s="430" t="s">
        <v>318</v>
      </c>
      <c r="B90" s="431"/>
      <c r="C90" s="110"/>
      <c r="D90" s="133">
        <v>0.52</v>
      </c>
      <c r="E90" s="2">
        <f t="shared" ref="E90:K90" si="12">SUM(E85:E89)*$D90</f>
        <v>0</v>
      </c>
      <c r="F90" s="2">
        <f t="shared" si="12"/>
        <v>0</v>
      </c>
      <c r="G90" s="2">
        <f t="shared" si="12"/>
        <v>0</v>
      </c>
      <c r="H90" s="2">
        <f t="shared" si="12"/>
        <v>0</v>
      </c>
      <c r="I90" s="2">
        <f t="shared" si="12"/>
        <v>0</v>
      </c>
      <c r="J90" s="2">
        <f t="shared" si="12"/>
        <v>0</v>
      </c>
      <c r="K90" s="2">
        <f t="shared" si="12"/>
        <v>0</v>
      </c>
    </row>
    <row r="91" spans="1:11" x14ac:dyDescent="0.25">
      <c r="A91" s="430" t="s">
        <v>130</v>
      </c>
      <c r="B91" s="431"/>
      <c r="C91" s="110"/>
      <c r="D91" s="4"/>
      <c r="E91" s="2">
        <f>'COSTOS Y GASTOS'!D24</f>
        <v>0</v>
      </c>
      <c r="F91" s="2">
        <f t="shared" ref="F91:K91" si="13">+E91*(1+F$78)*F$77</f>
        <v>0</v>
      </c>
      <c r="G91" s="2">
        <f t="shared" si="13"/>
        <v>0</v>
      </c>
      <c r="H91" s="2">
        <f t="shared" si="13"/>
        <v>0</v>
      </c>
      <c r="I91" s="2">
        <f t="shared" si="13"/>
        <v>0</v>
      </c>
      <c r="J91" s="2">
        <f t="shared" si="13"/>
        <v>0</v>
      </c>
      <c r="K91" s="2">
        <f t="shared" si="13"/>
        <v>0</v>
      </c>
    </row>
    <row r="92" spans="1:11" x14ac:dyDescent="0.25">
      <c r="A92" s="386"/>
      <c r="B92" s="387" t="s">
        <v>13</v>
      </c>
      <c r="C92" s="388"/>
      <c r="D92" s="387"/>
      <c r="E92" s="389">
        <f t="shared" ref="E92:K92" si="14">SUM(E81:E91)</f>
        <v>0</v>
      </c>
      <c r="F92" s="389">
        <f t="shared" si="14"/>
        <v>0</v>
      </c>
      <c r="G92" s="389">
        <f t="shared" si="14"/>
        <v>0</v>
      </c>
      <c r="H92" s="389">
        <f t="shared" si="14"/>
        <v>0</v>
      </c>
      <c r="I92" s="389">
        <f t="shared" si="14"/>
        <v>0</v>
      </c>
      <c r="J92" s="389">
        <f t="shared" si="14"/>
        <v>0</v>
      </c>
      <c r="K92" s="389">
        <f t="shared" si="14"/>
        <v>0</v>
      </c>
    </row>
    <row r="93" spans="1:11" x14ac:dyDescent="0.25">
      <c r="A93" s="440" t="s">
        <v>14</v>
      </c>
      <c r="B93" s="441"/>
      <c r="C93" s="452"/>
      <c r="D93" s="453"/>
      <c r="E93" s="453"/>
      <c r="F93" s="453"/>
      <c r="G93" s="453"/>
      <c r="H93" s="453"/>
      <c r="I93" s="453"/>
      <c r="J93" s="453"/>
      <c r="K93" s="454"/>
    </row>
    <row r="94" spans="1:11" x14ac:dyDescent="0.25">
      <c r="A94" s="442" t="s">
        <v>132</v>
      </c>
      <c r="B94" s="443"/>
      <c r="C94" s="110"/>
      <c r="D94" s="15"/>
      <c r="E94" s="2">
        <f>'COSTOS Y GASTOS'!E54</f>
        <v>0</v>
      </c>
      <c r="F94" s="2">
        <f t="shared" ref="F94:I95" si="15">+E94*(1+F$78)*F$77</f>
        <v>0</v>
      </c>
      <c r="G94" s="2">
        <f t="shared" si="15"/>
        <v>0</v>
      </c>
      <c r="H94" s="2">
        <f t="shared" si="15"/>
        <v>0</v>
      </c>
      <c r="I94" s="2">
        <f t="shared" si="15"/>
        <v>0</v>
      </c>
      <c r="J94" s="2">
        <f>+I94*(1+J$78)*J$77</f>
        <v>0</v>
      </c>
      <c r="K94" s="2">
        <f>+J94*(1+K$78)*K$77</f>
        <v>0</v>
      </c>
    </row>
    <row r="95" spans="1:11" x14ac:dyDescent="0.25">
      <c r="A95" s="442" t="s">
        <v>422</v>
      </c>
      <c r="B95" s="443"/>
      <c r="C95" s="110"/>
      <c r="D95" s="7"/>
      <c r="E95" s="6">
        <f>'COSTOS Y GASTOS'!E45</f>
        <v>0</v>
      </c>
      <c r="F95" s="2">
        <f t="shared" si="15"/>
        <v>0</v>
      </c>
      <c r="G95" s="2">
        <f t="shared" si="15"/>
        <v>0</v>
      </c>
      <c r="H95" s="2">
        <f t="shared" si="15"/>
        <v>0</v>
      </c>
      <c r="I95" s="2">
        <f t="shared" si="15"/>
        <v>0</v>
      </c>
      <c r="J95" s="2">
        <f>+I95*(1+J$78)*J$77</f>
        <v>0</v>
      </c>
      <c r="K95" s="2">
        <f>+J95*(1+K$78)*K$77</f>
        <v>0</v>
      </c>
    </row>
    <row r="96" spans="1:11" x14ac:dyDescent="0.25">
      <c r="A96" s="442" t="s">
        <v>131</v>
      </c>
      <c r="B96" s="443"/>
      <c r="C96" s="110"/>
      <c r="D96" s="7"/>
      <c r="E96" s="2">
        <f>IF(INGRESOS!$A$2="POSTGRADO",'COSTOS Y GASTOS'!$E29,0)</f>
        <v>0</v>
      </c>
      <c r="F96" s="2">
        <f>IF(INGRESOS!$A$2="POSTGRADO",'COSTOS Y GASTOS'!$E30,0)</f>
        <v>0</v>
      </c>
      <c r="G96" s="2">
        <f>IF(INGRESOS!$A$2="POSTGRADO",'COSTOS Y GASTOS'!$E31,0)</f>
        <v>0</v>
      </c>
      <c r="H96" s="2">
        <f>IF(INGRESOS!$A$2="POSTGRADO",'COSTOS Y GASTOS'!$E32,0)</f>
        <v>0</v>
      </c>
      <c r="I96" s="2">
        <f>IF(INGRESOS!$A$2="POSTGRADO",'COSTOS Y GASTOS'!$E33,0)</f>
        <v>0</v>
      </c>
      <c r="J96" s="2">
        <f>IF(INGRESOS!$A$2="POSTGRADO",'COSTOS Y GASTOS'!$E33,0)</f>
        <v>0</v>
      </c>
      <c r="K96" s="2">
        <f>IF(INGRESOS!$A$2="POSTGRADO",'COSTOS Y GASTOS'!$E33,0)</f>
        <v>0</v>
      </c>
    </row>
    <row r="97" spans="1:11" x14ac:dyDescent="0.25">
      <c r="A97" s="444" t="s">
        <v>13</v>
      </c>
      <c r="B97" s="445"/>
      <c r="C97" s="388"/>
      <c r="D97" s="387"/>
      <c r="E97" s="389">
        <f t="shared" ref="E97:K97" si="16">SUM(E94:E96)</f>
        <v>0</v>
      </c>
      <c r="F97" s="389">
        <f t="shared" si="16"/>
        <v>0</v>
      </c>
      <c r="G97" s="389">
        <f t="shared" si="16"/>
        <v>0</v>
      </c>
      <c r="H97" s="389">
        <f t="shared" si="16"/>
        <v>0</v>
      </c>
      <c r="I97" s="389">
        <f t="shared" si="16"/>
        <v>0</v>
      </c>
      <c r="J97" s="389">
        <f t="shared" si="16"/>
        <v>0</v>
      </c>
      <c r="K97" s="389">
        <f t="shared" si="16"/>
        <v>0</v>
      </c>
    </row>
    <row r="98" spans="1:11" x14ac:dyDescent="0.25">
      <c r="A98" s="438" t="s">
        <v>141</v>
      </c>
      <c r="B98" s="439"/>
      <c r="C98" s="460"/>
      <c r="D98" s="461"/>
      <c r="E98" s="461"/>
      <c r="F98" s="461"/>
      <c r="G98" s="461"/>
      <c r="H98" s="461"/>
      <c r="I98" s="461"/>
      <c r="J98" s="461"/>
      <c r="K98" s="462"/>
    </row>
    <row r="99" spans="1:11" x14ac:dyDescent="0.25">
      <c r="A99" s="430" t="s">
        <v>136</v>
      </c>
      <c r="B99" s="431"/>
      <c r="C99" s="110"/>
      <c r="D99" s="7"/>
      <c r="E99" s="9">
        <f>'COSTOS Y GASTOS'!F62</f>
        <v>0</v>
      </c>
      <c r="F99" s="2">
        <f t="shared" ref="F99:I102" si="17">+E99*(1+F$78)*F$77</f>
        <v>0</v>
      </c>
      <c r="G99" s="2">
        <f t="shared" si="17"/>
        <v>0</v>
      </c>
      <c r="H99" s="2">
        <f t="shared" si="17"/>
        <v>0</v>
      </c>
      <c r="I99" s="2">
        <f t="shared" si="17"/>
        <v>0</v>
      </c>
      <c r="J99" s="2">
        <f t="shared" ref="J99:K102" si="18">+I99*(1+J$78)*J$77</f>
        <v>0</v>
      </c>
      <c r="K99" s="2">
        <f t="shared" si="18"/>
        <v>0</v>
      </c>
    </row>
    <row r="100" spans="1:11" x14ac:dyDescent="0.25">
      <c r="A100" s="430" t="s">
        <v>135</v>
      </c>
      <c r="B100" s="431"/>
      <c r="C100" s="110"/>
      <c r="D100" s="7"/>
      <c r="E100" s="9">
        <f>'COSTOS Y GASTOS'!F80</f>
        <v>0</v>
      </c>
      <c r="F100" s="2">
        <f t="shared" si="17"/>
        <v>0</v>
      </c>
      <c r="G100" s="2">
        <f t="shared" si="17"/>
        <v>0</v>
      </c>
      <c r="H100" s="2">
        <f t="shared" si="17"/>
        <v>0</v>
      </c>
      <c r="I100" s="2">
        <f t="shared" si="17"/>
        <v>0</v>
      </c>
      <c r="J100" s="2">
        <f t="shared" si="18"/>
        <v>0</v>
      </c>
      <c r="K100" s="2">
        <f t="shared" si="18"/>
        <v>0</v>
      </c>
    </row>
    <row r="101" spans="1:11" x14ac:dyDescent="0.25">
      <c r="A101" s="430" t="s">
        <v>134</v>
      </c>
      <c r="B101" s="431"/>
      <c r="C101" s="110"/>
      <c r="D101" s="7"/>
      <c r="E101" s="9">
        <f>'COSTOS Y GASTOS'!F96</f>
        <v>0</v>
      </c>
      <c r="F101" s="2">
        <f t="shared" si="17"/>
        <v>0</v>
      </c>
      <c r="G101" s="2">
        <f t="shared" si="17"/>
        <v>0</v>
      </c>
      <c r="H101" s="2">
        <f t="shared" si="17"/>
        <v>0</v>
      </c>
      <c r="I101" s="2">
        <f t="shared" si="17"/>
        <v>0</v>
      </c>
      <c r="J101" s="2">
        <f t="shared" si="18"/>
        <v>0</v>
      </c>
      <c r="K101" s="2">
        <f t="shared" si="18"/>
        <v>0</v>
      </c>
    </row>
    <row r="102" spans="1:11" x14ac:dyDescent="0.25">
      <c r="A102" s="430" t="s">
        <v>133</v>
      </c>
      <c r="B102" s="431"/>
      <c r="C102" s="110"/>
      <c r="D102" s="7"/>
      <c r="E102" s="9">
        <f>'COSTOS Y GASTOS'!F112</f>
        <v>0</v>
      </c>
      <c r="F102" s="2">
        <f t="shared" si="17"/>
        <v>0</v>
      </c>
      <c r="G102" s="2">
        <f t="shared" si="17"/>
        <v>0</v>
      </c>
      <c r="H102" s="2">
        <f t="shared" si="17"/>
        <v>0</v>
      </c>
      <c r="I102" s="2">
        <f t="shared" si="17"/>
        <v>0</v>
      </c>
      <c r="J102" s="2">
        <f t="shared" si="18"/>
        <v>0</v>
      </c>
      <c r="K102" s="2">
        <f t="shared" si="18"/>
        <v>0</v>
      </c>
    </row>
    <row r="103" spans="1:11" x14ac:dyDescent="0.25">
      <c r="A103" s="438" t="s">
        <v>142</v>
      </c>
      <c r="B103" s="439"/>
      <c r="C103" s="460"/>
      <c r="D103" s="461"/>
      <c r="E103" s="461"/>
      <c r="F103" s="461"/>
      <c r="G103" s="461"/>
      <c r="H103" s="461"/>
      <c r="I103" s="461"/>
      <c r="J103" s="461"/>
      <c r="K103" s="462"/>
    </row>
    <row r="104" spans="1:11" x14ac:dyDescent="0.25">
      <c r="A104" s="430" t="s">
        <v>137</v>
      </c>
      <c r="B104" s="431"/>
      <c r="C104" s="110"/>
      <c r="D104" s="7"/>
      <c r="E104" s="9">
        <f>'COSTOS Y GASTOS'!F72</f>
        <v>0</v>
      </c>
      <c r="F104" s="2">
        <f t="shared" ref="F104:I107" si="19">+E104*(1+F$78)*F$77</f>
        <v>0</v>
      </c>
      <c r="G104" s="2">
        <f t="shared" si="19"/>
        <v>0</v>
      </c>
      <c r="H104" s="2">
        <f t="shared" si="19"/>
        <v>0</v>
      </c>
      <c r="I104" s="2">
        <f t="shared" si="19"/>
        <v>0</v>
      </c>
      <c r="J104" s="2">
        <f t="shared" ref="J104:K107" si="20">+I104*(1+J$78)*J$77</f>
        <v>0</v>
      </c>
      <c r="K104" s="2">
        <f t="shared" si="20"/>
        <v>0</v>
      </c>
    </row>
    <row r="105" spans="1:11" x14ac:dyDescent="0.25">
      <c r="A105" s="430" t="s">
        <v>138</v>
      </c>
      <c r="B105" s="431"/>
      <c r="C105" s="110"/>
      <c r="D105" s="7"/>
      <c r="E105" s="9">
        <f>'COSTOS Y GASTOS'!F88</f>
        <v>0</v>
      </c>
      <c r="F105" s="2">
        <f t="shared" si="19"/>
        <v>0</v>
      </c>
      <c r="G105" s="2">
        <f t="shared" si="19"/>
        <v>0</v>
      </c>
      <c r="H105" s="2">
        <f t="shared" si="19"/>
        <v>0</v>
      </c>
      <c r="I105" s="2">
        <f t="shared" si="19"/>
        <v>0</v>
      </c>
      <c r="J105" s="2">
        <f t="shared" si="20"/>
        <v>0</v>
      </c>
      <c r="K105" s="2">
        <f t="shared" si="20"/>
        <v>0</v>
      </c>
    </row>
    <row r="106" spans="1:11" x14ac:dyDescent="0.25">
      <c r="A106" s="430" t="s">
        <v>139</v>
      </c>
      <c r="B106" s="431"/>
      <c r="C106" s="110"/>
      <c r="D106" s="7"/>
      <c r="E106" s="9">
        <f>'COSTOS Y GASTOS'!F104</f>
        <v>0</v>
      </c>
      <c r="F106" s="2">
        <f t="shared" si="19"/>
        <v>0</v>
      </c>
      <c r="G106" s="2">
        <f t="shared" si="19"/>
        <v>0</v>
      </c>
      <c r="H106" s="2">
        <f t="shared" si="19"/>
        <v>0</v>
      </c>
      <c r="I106" s="2">
        <f t="shared" si="19"/>
        <v>0</v>
      </c>
      <c r="J106" s="2">
        <f t="shared" si="20"/>
        <v>0</v>
      </c>
      <c r="K106" s="2">
        <f t="shared" si="20"/>
        <v>0</v>
      </c>
    </row>
    <row r="107" spans="1:11" x14ac:dyDescent="0.25">
      <c r="A107" s="430" t="s">
        <v>140</v>
      </c>
      <c r="B107" s="431"/>
      <c r="C107" s="110"/>
      <c r="D107" s="7"/>
      <c r="E107" s="9">
        <f>'COSTOS Y GASTOS'!F119</f>
        <v>0</v>
      </c>
      <c r="F107" s="2">
        <f t="shared" si="19"/>
        <v>0</v>
      </c>
      <c r="G107" s="2">
        <f t="shared" si="19"/>
        <v>0</v>
      </c>
      <c r="H107" s="2">
        <f t="shared" si="19"/>
        <v>0</v>
      </c>
      <c r="I107" s="2">
        <f t="shared" si="19"/>
        <v>0</v>
      </c>
      <c r="J107" s="2">
        <f t="shared" si="20"/>
        <v>0</v>
      </c>
      <c r="K107" s="2">
        <f t="shared" si="20"/>
        <v>0</v>
      </c>
    </row>
    <row r="108" spans="1:11" x14ac:dyDescent="0.25">
      <c r="A108" s="444" t="s">
        <v>13</v>
      </c>
      <c r="B108" s="445"/>
      <c r="C108" s="390"/>
      <c r="D108" s="391"/>
      <c r="E108" s="389">
        <f t="shared" ref="E108:K108" si="21">SUM(E99:E107)</f>
        <v>0</v>
      </c>
      <c r="F108" s="389">
        <f t="shared" si="21"/>
        <v>0</v>
      </c>
      <c r="G108" s="389">
        <f t="shared" si="21"/>
        <v>0</v>
      </c>
      <c r="H108" s="389">
        <f t="shared" si="21"/>
        <v>0</v>
      </c>
      <c r="I108" s="389">
        <f t="shared" si="21"/>
        <v>0</v>
      </c>
      <c r="J108" s="389">
        <f t="shared" si="21"/>
        <v>0</v>
      </c>
      <c r="K108" s="389">
        <f t="shared" si="21"/>
        <v>0</v>
      </c>
    </row>
    <row r="109" spans="1:11" x14ac:dyDescent="0.25">
      <c r="A109" s="446" t="s">
        <v>143</v>
      </c>
      <c r="B109" s="447"/>
      <c r="C109" s="452"/>
      <c r="D109" s="453"/>
      <c r="E109" s="453"/>
      <c r="F109" s="453"/>
      <c r="G109" s="453"/>
      <c r="H109" s="453"/>
      <c r="I109" s="453"/>
      <c r="J109" s="453"/>
      <c r="K109" s="454"/>
    </row>
    <row r="110" spans="1:11" x14ac:dyDescent="0.25">
      <c r="A110" s="384" t="s">
        <v>32</v>
      </c>
      <c r="B110" s="385"/>
      <c r="C110" s="110"/>
      <c r="D110" s="7"/>
      <c r="E110" s="6">
        <f>'COSTOS Y GASTOS'!F124</f>
        <v>0</v>
      </c>
      <c r="F110" s="2">
        <f t="shared" ref="F110:I111" si="22">+E110*(1+F$78)*F$77</f>
        <v>0</v>
      </c>
      <c r="G110" s="2">
        <f t="shared" si="22"/>
        <v>0</v>
      </c>
      <c r="H110" s="2">
        <f t="shared" si="22"/>
        <v>0</v>
      </c>
      <c r="I110" s="2">
        <f t="shared" si="22"/>
        <v>0</v>
      </c>
      <c r="J110" s="2">
        <f>+I110*(1+J$78)*J$77</f>
        <v>0</v>
      </c>
      <c r="K110" s="2">
        <f>+J110*(1+K$78)*K$77</f>
        <v>0</v>
      </c>
    </row>
    <row r="111" spans="1:11" x14ac:dyDescent="0.25">
      <c r="A111" s="430" t="s">
        <v>31</v>
      </c>
      <c r="B111" s="431"/>
      <c r="C111" s="110"/>
      <c r="D111" s="7"/>
      <c r="E111" s="6">
        <f>'COSTOS Y GASTOS'!F125</f>
        <v>0</v>
      </c>
      <c r="F111" s="2">
        <f t="shared" si="22"/>
        <v>0</v>
      </c>
      <c r="G111" s="2">
        <f t="shared" si="22"/>
        <v>0</v>
      </c>
      <c r="H111" s="2">
        <f t="shared" si="22"/>
        <v>0</v>
      </c>
      <c r="I111" s="2">
        <f t="shared" si="22"/>
        <v>0</v>
      </c>
      <c r="J111" s="2">
        <f>+I111*(1+J$78)*J$77</f>
        <v>0</v>
      </c>
      <c r="K111" s="2">
        <f>+J111*(1+K$78)*K$77</f>
        <v>0</v>
      </c>
    </row>
    <row r="112" spans="1:11" x14ac:dyDescent="0.25">
      <c r="A112" s="428" t="s">
        <v>13</v>
      </c>
      <c r="B112" s="448"/>
      <c r="C112" s="115"/>
      <c r="D112" s="27"/>
      <c r="E112" s="14">
        <f t="shared" ref="E112:K112" si="23">SUM(E110:E111)</f>
        <v>0</v>
      </c>
      <c r="F112" s="14">
        <f t="shared" si="23"/>
        <v>0</v>
      </c>
      <c r="G112" s="14">
        <f t="shared" si="23"/>
        <v>0</v>
      </c>
      <c r="H112" s="14">
        <f t="shared" si="23"/>
        <v>0</v>
      </c>
      <c r="I112" s="14">
        <f t="shared" si="23"/>
        <v>0</v>
      </c>
      <c r="J112" s="14">
        <f t="shared" si="23"/>
        <v>0</v>
      </c>
      <c r="K112" s="14">
        <f t="shared" si="23"/>
        <v>0</v>
      </c>
    </row>
    <row r="113" spans="1:11" x14ac:dyDescent="0.25">
      <c r="A113" s="446" t="s">
        <v>144</v>
      </c>
      <c r="B113" s="447"/>
      <c r="C113" s="452"/>
      <c r="D113" s="453"/>
      <c r="E113" s="453"/>
      <c r="F113" s="453"/>
      <c r="G113" s="453"/>
      <c r="H113" s="453"/>
      <c r="I113" s="453"/>
      <c r="J113" s="453"/>
      <c r="K113" s="454"/>
    </row>
    <row r="114" spans="1:11" x14ac:dyDescent="0.25">
      <c r="A114" s="430" t="s">
        <v>145</v>
      </c>
      <c r="B114" s="431"/>
      <c r="C114" s="110"/>
      <c r="D114" s="7"/>
      <c r="E114" s="6">
        <f>'COSTOS Y GASTOS'!F131</f>
        <v>0</v>
      </c>
      <c r="F114" s="2">
        <f t="shared" ref="F114:I117" si="24">+E114*(1+F$78)*F$77</f>
        <v>0</v>
      </c>
      <c r="G114" s="2">
        <f t="shared" si="24"/>
        <v>0</v>
      </c>
      <c r="H114" s="2">
        <f t="shared" si="24"/>
        <v>0</v>
      </c>
      <c r="I114" s="2">
        <f t="shared" si="24"/>
        <v>0</v>
      </c>
      <c r="J114" s="2">
        <f t="shared" ref="J114:K117" si="25">+I114*(1+J$78)*J$77</f>
        <v>0</v>
      </c>
      <c r="K114" s="2">
        <f t="shared" si="25"/>
        <v>0</v>
      </c>
    </row>
    <row r="115" spans="1:11" x14ac:dyDescent="0.25">
      <c r="A115" s="430" t="s">
        <v>146</v>
      </c>
      <c r="B115" s="431"/>
      <c r="C115" s="110"/>
      <c r="D115" s="7"/>
      <c r="E115" s="6">
        <f>'COSTOS Y GASTOS'!F132</f>
        <v>0</v>
      </c>
      <c r="F115" s="2">
        <f t="shared" si="24"/>
        <v>0</v>
      </c>
      <c r="G115" s="2">
        <f t="shared" si="24"/>
        <v>0</v>
      </c>
      <c r="H115" s="2">
        <f t="shared" si="24"/>
        <v>0</v>
      </c>
      <c r="I115" s="2">
        <f t="shared" si="24"/>
        <v>0</v>
      </c>
      <c r="J115" s="2">
        <f t="shared" si="25"/>
        <v>0</v>
      </c>
      <c r="K115" s="2">
        <f t="shared" si="25"/>
        <v>0</v>
      </c>
    </row>
    <row r="116" spans="1:11" x14ac:dyDescent="0.25">
      <c r="A116" s="430" t="s">
        <v>44</v>
      </c>
      <c r="B116" s="431"/>
      <c r="C116" s="110"/>
      <c r="D116" s="7"/>
      <c r="E116" s="6">
        <f>'COSTOS Y GASTOS'!F133</f>
        <v>0</v>
      </c>
      <c r="F116" s="2">
        <f t="shared" si="24"/>
        <v>0</v>
      </c>
      <c r="G116" s="2">
        <f t="shared" si="24"/>
        <v>0</v>
      </c>
      <c r="H116" s="2">
        <f t="shared" si="24"/>
        <v>0</v>
      </c>
      <c r="I116" s="2">
        <f t="shared" si="24"/>
        <v>0</v>
      </c>
      <c r="J116" s="2">
        <f t="shared" si="25"/>
        <v>0</v>
      </c>
      <c r="K116" s="2">
        <f t="shared" si="25"/>
        <v>0</v>
      </c>
    </row>
    <row r="117" spans="1:11" x14ac:dyDescent="0.25">
      <c r="A117" s="430" t="s">
        <v>147</v>
      </c>
      <c r="B117" s="431"/>
      <c r="C117" s="110"/>
      <c r="D117" s="7"/>
      <c r="E117" s="6">
        <f>'COSTOS Y GASTOS'!F134</f>
        <v>0</v>
      </c>
      <c r="F117" s="2">
        <f t="shared" si="24"/>
        <v>0</v>
      </c>
      <c r="G117" s="2">
        <f t="shared" si="24"/>
        <v>0</v>
      </c>
      <c r="H117" s="2">
        <f t="shared" si="24"/>
        <v>0</v>
      </c>
      <c r="I117" s="2">
        <f t="shared" si="24"/>
        <v>0</v>
      </c>
      <c r="J117" s="2">
        <f t="shared" si="25"/>
        <v>0</v>
      </c>
      <c r="K117" s="2">
        <f t="shared" si="25"/>
        <v>0</v>
      </c>
    </row>
    <row r="118" spans="1:11" x14ac:dyDescent="0.25">
      <c r="A118" s="444" t="s">
        <v>13</v>
      </c>
      <c r="B118" s="445"/>
      <c r="C118" s="388"/>
      <c r="D118" s="387"/>
      <c r="E118" s="389">
        <f t="shared" ref="E118:K118" si="26">SUM(E114:E117)</f>
        <v>0</v>
      </c>
      <c r="F118" s="389">
        <f t="shared" si="26"/>
        <v>0</v>
      </c>
      <c r="G118" s="389">
        <f t="shared" si="26"/>
        <v>0</v>
      </c>
      <c r="H118" s="389">
        <f t="shared" si="26"/>
        <v>0</v>
      </c>
      <c r="I118" s="389">
        <f t="shared" si="26"/>
        <v>0</v>
      </c>
      <c r="J118" s="389">
        <f t="shared" si="26"/>
        <v>0</v>
      </c>
      <c r="K118" s="389">
        <f t="shared" si="26"/>
        <v>0</v>
      </c>
    </row>
    <row r="119" spans="1:11" x14ac:dyDescent="0.25">
      <c r="A119" s="446" t="s">
        <v>15</v>
      </c>
      <c r="B119" s="447"/>
      <c r="C119" s="452"/>
      <c r="D119" s="453"/>
      <c r="E119" s="453"/>
      <c r="F119" s="453"/>
      <c r="G119" s="453"/>
      <c r="H119" s="453"/>
      <c r="I119" s="453"/>
      <c r="J119" s="453"/>
      <c r="K119" s="454"/>
    </row>
    <row r="120" spans="1:11" x14ac:dyDescent="0.25">
      <c r="A120" s="430" t="s">
        <v>16</v>
      </c>
      <c r="B120" s="431"/>
      <c r="C120" s="110"/>
      <c r="D120" s="7"/>
      <c r="E120" s="6">
        <f>'COSTOS Y GASTOS'!E140</f>
        <v>0</v>
      </c>
      <c r="F120" s="2">
        <f t="shared" ref="F120:I122" si="27">+E120*(1+F$78)*F$77</f>
        <v>0</v>
      </c>
      <c r="G120" s="2">
        <f t="shared" si="27"/>
        <v>0</v>
      </c>
      <c r="H120" s="2">
        <f t="shared" si="27"/>
        <v>0</v>
      </c>
      <c r="I120" s="2">
        <f t="shared" si="27"/>
        <v>0</v>
      </c>
      <c r="J120" s="2">
        <f>+I120*(1+J$78)*J$77</f>
        <v>0</v>
      </c>
      <c r="K120" s="2">
        <f>+J120*(1+K$78)*K$77</f>
        <v>0</v>
      </c>
    </row>
    <row r="121" spans="1:11" x14ac:dyDescent="0.25">
      <c r="A121" s="430" t="s">
        <v>17</v>
      </c>
      <c r="B121" s="431"/>
      <c r="C121" s="110"/>
      <c r="D121" s="7"/>
      <c r="E121" s="6">
        <f>'COSTOS Y GASTOS'!E141</f>
        <v>0</v>
      </c>
      <c r="F121" s="2">
        <f>AVERAGE(INGRESOS!D42:E42)*'COSTOS Y GASTOS'!$C$141*(1+CONSOLIDADO!$F$78)*'COSTOS Y GASTOS'!$D$141</f>
        <v>0</v>
      </c>
      <c r="G121" s="2">
        <f>AVERAGE(INGRESOS!F42:G42)*'COSTOS Y GASTOS'!$C$141*(1+CONSOLIDADO!$F$78)^2*'COSTOS Y GASTOS'!$D$141</f>
        <v>0</v>
      </c>
      <c r="H121" s="2">
        <f>AVERAGE(INGRESOS!H42:I42)*'COSTOS Y GASTOS'!$C$141*(1+CONSOLIDADO!$F$78)^3*'COSTOS Y GASTOS'!$D$141</f>
        <v>0</v>
      </c>
      <c r="I121" s="2">
        <f>AVERAGE(INGRESOS!J42:K42)*'COSTOS Y GASTOS'!$C$141*(1+CONSOLIDADO!$F$78)^4*'COSTOS Y GASTOS'!$D$141</f>
        <v>0</v>
      </c>
      <c r="J121" s="2">
        <f>AVERAGE(INGRESOS!K42:L42)*'COSTOS Y GASTOS'!$C$141*(1+CONSOLIDADO!$F$78)^4*'COSTOS Y GASTOS'!$D$141</f>
        <v>0</v>
      </c>
      <c r="K121" s="2">
        <f>AVERAGE(INGRESOS!L42:M42)*'COSTOS Y GASTOS'!$C$141*(1+CONSOLIDADO!$F$78)^4*'COSTOS Y GASTOS'!$D$141</f>
        <v>0</v>
      </c>
    </row>
    <row r="122" spans="1:11" x14ac:dyDescent="0.25">
      <c r="A122" s="430" t="s">
        <v>18</v>
      </c>
      <c r="B122" s="431"/>
      <c r="C122" s="110"/>
      <c r="D122" s="7"/>
      <c r="E122" s="6">
        <f>'COSTOS Y GASTOS'!E142</f>
        <v>0</v>
      </c>
      <c r="F122" s="2">
        <f t="shared" si="27"/>
        <v>0</v>
      </c>
      <c r="G122" s="2">
        <f t="shared" si="27"/>
        <v>0</v>
      </c>
      <c r="H122" s="2">
        <f t="shared" si="27"/>
        <v>0</v>
      </c>
      <c r="I122" s="2">
        <f t="shared" si="27"/>
        <v>0</v>
      </c>
      <c r="J122" s="2">
        <f>+I122*(1+J$78)*J$77</f>
        <v>0</v>
      </c>
      <c r="K122" s="2">
        <f>+J122*(1+K$78)*K$77</f>
        <v>0</v>
      </c>
    </row>
    <row r="123" spans="1:11" x14ac:dyDescent="0.25">
      <c r="A123" s="430" t="s">
        <v>19</v>
      </c>
      <c r="B123" s="431"/>
      <c r="C123" s="110"/>
      <c r="D123" s="7"/>
      <c r="E123" s="6">
        <f>'COSTOS Y GASTOS'!E143</f>
        <v>0</v>
      </c>
      <c r="F123" s="2">
        <f>SUM(INGRESOS!D$33:E$39)*'COSTOS Y GASTOS'!$C$143*(1+CONSOLIDADO!$F$78)</f>
        <v>0</v>
      </c>
      <c r="G123" s="2">
        <f>SUM(INGRESOS!F$33:G$39)*'COSTOS Y GASTOS'!$C$143*(1+CONSOLIDADO!$F$78)^2</f>
        <v>0</v>
      </c>
      <c r="H123" s="2">
        <f>SUM(INGRESOS!H$33:I$39)*'COSTOS Y GASTOS'!$C$143*(1+CONSOLIDADO!$F$78)^3</f>
        <v>0</v>
      </c>
      <c r="I123" s="2">
        <f>SUM(INGRESOS!J$33:K$39)*'COSTOS Y GASTOS'!$C$143*(1+CONSOLIDADO!$F$78)^4</f>
        <v>0</v>
      </c>
      <c r="J123" s="2">
        <f>SUM(INGRESOS!K$33:L$39)*'COSTOS Y GASTOS'!$C$143*(1+CONSOLIDADO!$F$78)^4</f>
        <v>0</v>
      </c>
      <c r="K123" s="2">
        <f>SUM(INGRESOS!L$33:M$39)*'COSTOS Y GASTOS'!$C$143*(1+CONSOLIDADO!$F$78)^4</f>
        <v>0</v>
      </c>
    </row>
    <row r="124" spans="1:11" x14ac:dyDescent="0.25">
      <c r="A124" s="444" t="s">
        <v>13</v>
      </c>
      <c r="B124" s="445"/>
      <c r="C124" s="388"/>
      <c r="D124" s="387"/>
      <c r="E124" s="389">
        <f t="shared" ref="E124:K124" si="28">SUM(E120:E123)</f>
        <v>0</v>
      </c>
      <c r="F124" s="389">
        <f t="shared" si="28"/>
        <v>0</v>
      </c>
      <c r="G124" s="389">
        <f t="shared" si="28"/>
        <v>0</v>
      </c>
      <c r="H124" s="389">
        <f t="shared" si="28"/>
        <v>0</v>
      </c>
      <c r="I124" s="389">
        <f t="shared" si="28"/>
        <v>0</v>
      </c>
      <c r="J124" s="389">
        <f t="shared" si="28"/>
        <v>0</v>
      </c>
      <c r="K124" s="389">
        <f t="shared" si="28"/>
        <v>0</v>
      </c>
    </row>
    <row r="125" spans="1:11" x14ac:dyDescent="0.25">
      <c r="A125" s="446" t="s">
        <v>20</v>
      </c>
      <c r="B125" s="447"/>
      <c r="C125" s="452"/>
      <c r="D125" s="453"/>
      <c r="E125" s="453"/>
      <c r="F125" s="453"/>
      <c r="G125" s="453"/>
      <c r="H125" s="453"/>
      <c r="I125" s="453"/>
      <c r="J125" s="453"/>
      <c r="K125" s="454"/>
    </row>
    <row r="126" spans="1:11" x14ac:dyDescent="0.25">
      <c r="A126" s="430" t="s">
        <v>148</v>
      </c>
      <c r="B126" s="431"/>
      <c r="C126" s="110"/>
      <c r="D126" s="7"/>
      <c r="E126" s="6">
        <f>'COSTOS Y GASTOS'!D149</f>
        <v>0</v>
      </c>
      <c r="F126" s="2">
        <f t="shared" ref="F126:I136" si="29">+E126*(1+F$78)*F$77</f>
        <v>0</v>
      </c>
      <c r="G126" s="2">
        <f t="shared" si="29"/>
        <v>0</v>
      </c>
      <c r="H126" s="2">
        <f t="shared" si="29"/>
        <v>0</v>
      </c>
      <c r="I126" s="2">
        <f t="shared" si="29"/>
        <v>0</v>
      </c>
      <c r="J126" s="2">
        <f t="shared" ref="J126:J136" si="30">+I126*(1+J$78)*J$77</f>
        <v>0</v>
      </c>
      <c r="K126" s="2">
        <f t="shared" ref="K126:K136" si="31">+J126*(1+K$78)*K$77</f>
        <v>0</v>
      </c>
    </row>
    <row r="127" spans="1:11" x14ac:dyDescent="0.25">
      <c r="A127" s="430" t="s">
        <v>22</v>
      </c>
      <c r="B127" s="431"/>
      <c r="C127" s="110"/>
      <c r="D127" s="7"/>
      <c r="E127" s="6">
        <f>'COSTOS Y GASTOS'!D150</f>
        <v>0</v>
      </c>
      <c r="F127" s="2">
        <f t="shared" si="29"/>
        <v>0</v>
      </c>
      <c r="G127" s="2">
        <f t="shared" si="29"/>
        <v>0</v>
      </c>
      <c r="H127" s="2">
        <f t="shared" si="29"/>
        <v>0</v>
      </c>
      <c r="I127" s="2">
        <f t="shared" si="29"/>
        <v>0</v>
      </c>
      <c r="J127" s="2">
        <f t="shared" si="30"/>
        <v>0</v>
      </c>
      <c r="K127" s="2">
        <f t="shared" si="31"/>
        <v>0</v>
      </c>
    </row>
    <row r="128" spans="1:11" x14ac:dyDescent="0.25">
      <c r="A128" s="430" t="s">
        <v>23</v>
      </c>
      <c r="B128" s="431"/>
      <c r="C128" s="110"/>
      <c r="D128" s="7"/>
      <c r="E128" s="6">
        <f>'COSTOS Y GASTOS'!D151</f>
        <v>0</v>
      </c>
      <c r="F128" s="2">
        <f t="shared" si="29"/>
        <v>0</v>
      </c>
      <c r="G128" s="2">
        <f t="shared" si="29"/>
        <v>0</v>
      </c>
      <c r="H128" s="2">
        <f t="shared" si="29"/>
        <v>0</v>
      </c>
      <c r="I128" s="2">
        <f t="shared" si="29"/>
        <v>0</v>
      </c>
      <c r="J128" s="2">
        <f t="shared" si="30"/>
        <v>0</v>
      </c>
      <c r="K128" s="2">
        <f t="shared" si="31"/>
        <v>0</v>
      </c>
    </row>
    <row r="129" spans="1:11" x14ac:dyDescent="0.25">
      <c r="A129" s="430" t="s">
        <v>24</v>
      </c>
      <c r="B129" s="431"/>
      <c r="C129" s="110"/>
      <c r="D129" s="7"/>
      <c r="E129" s="6">
        <f>'COSTOS Y GASTOS'!D152</f>
        <v>0</v>
      </c>
      <c r="F129" s="2">
        <f t="shared" si="29"/>
        <v>0</v>
      </c>
      <c r="G129" s="2">
        <f t="shared" si="29"/>
        <v>0</v>
      </c>
      <c r="H129" s="2">
        <f t="shared" si="29"/>
        <v>0</v>
      </c>
      <c r="I129" s="2">
        <f t="shared" si="29"/>
        <v>0</v>
      </c>
      <c r="J129" s="2">
        <f t="shared" si="30"/>
        <v>0</v>
      </c>
      <c r="K129" s="2">
        <f t="shared" si="31"/>
        <v>0</v>
      </c>
    </row>
    <row r="130" spans="1:11" x14ac:dyDescent="0.25">
      <c r="A130" s="430" t="s">
        <v>151</v>
      </c>
      <c r="B130" s="431"/>
      <c r="C130" s="110"/>
      <c r="D130" s="7"/>
      <c r="E130" s="6">
        <f>'COSTOS Y GASTOS'!E171</f>
        <v>0</v>
      </c>
      <c r="F130" s="2">
        <f t="shared" si="29"/>
        <v>0</v>
      </c>
      <c r="G130" s="2">
        <f t="shared" si="29"/>
        <v>0</v>
      </c>
      <c r="H130" s="2">
        <f t="shared" si="29"/>
        <v>0</v>
      </c>
      <c r="I130" s="2">
        <f t="shared" si="29"/>
        <v>0</v>
      </c>
      <c r="J130" s="2">
        <f t="shared" si="30"/>
        <v>0</v>
      </c>
      <c r="K130" s="2">
        <f t="shared" si="31"/>
        <v>0</v>
      </c>
    </row>
    <row r="131" spans="1:11" x14ac:dyDescent="0.25">
      <c r="A131" s="430" t="s">
        <v>25</v>
      </c>
      <c r="B131" s="431"/>
      <c r="C131" s="110"/>
      <c r="D131" s="7"/>
      <c r="E131" s="6">
        <f>'COSTOS Y GASTOS'!D153</f>
        <v>0</v>
      </c>
      <c r="F131" s="2">
        <f t="shared" si="29"/>
        <v>0</v>
      </c>
      <c r="G131" s="2">
        <f t="shared" si="29"/>
        <v>0</v>
      </c>
      <c r="H131" s="2">
        <f t="shared" si="29"/>
        <v>0</v>
      </c>
      <c r="I131" s="2">
        <f t="shared" si="29"/>
        <v>0</v>
      </c>
      <c r="J131" s="2">
        <f t="shared" si="30"/>
        <v>0</v>
      </c>
      <c r="K131" s="2">
        <f t="shared" si="31"/>
        <v>0</v>
      </c>
    </row>
    <row r="132" spans="1:11" x14ac:dyDescent="0.25">
      <c r="A132" s="430" t="s">
        <v>149</v>
      </c>
      <c r="B132" s="431"/>
      <c r="C132" s="110"/>
      <c r="D132" s="7"/>
      <c r="E132" s="6">
        <f>'COSTOS Y GASTOS'!D154</f>
        <v>0</v>
      </c>
      <c r="F132" s="2">
        <f t="shared" si="29"/>
        <v>0</v>
      </c>
      <c r="G132" s="2">
        <f t="shared" si="29"/>
        <v>0</v>
      </c>
      <c r="H132" s="2">
        <f t="shared" si="29"/>
        <v>0</v>
      </c>
      <c r="I132" s="2">
        <f t="shared" si="29"/>
        <v>0</v>
      </c>
      <c r="J132" s="2">
        <f t="shared" si="30"/>
        <v>0</v>
      </c>
      <c r="K132" s="2">
        <f t="shared" si="31"/>
        <v>0</v>
      </c>
    </row>
    <row r="133" spans="1:11" x14ac:dyDescent="0.25">
      <c r="A133" s="430" t="s">
        <v>150</v>
      </c>
      <c r="B133" s="431"/>
      <c r="C133" s="110"/>
      <c r="D133" s="7"/>
      <c r="E133" s="6">
        <f>'COSTOS Y GASTOS'!D155</f>
        <v>0</v>
      </c>
      <c r="F133" s="2">
        <f t="shared" si="29"/>
        <v>0</v>
      </c>
      <c r="G133" s="2">
        <f t="shared" si="29"/>
        <v>0</v>
      </c>
      <c r="H133" s="2">
        <f t="shared" si="29"/>
        <v>0</v>
      </c>
      <c r="I133" s="2">
        <f t="shared" si="29"/>
        <v>0</v>
      </c>
      <c r="J133" s="2">
        <f t="shared" si="30"/>
        <v>0</v>
      </c>
      <c r="K133" s="2">
        <f t="shared" si="31"/>
        <v>0</v>
      </c>
    </row>
    <row r="134" spans="1:11" x14ac:dyDescent="0.25">
      <c r="A134" s="430" t="s">
        <v>21</v>
      </c>
      <c r="B134" s="431"/>
      <c r="C134" s="110"/>
      <c r="D134" s="7"/>
      <c r="E134" s="6">
        <f>'COSTOS Y GASTOS'!D156</f>
        <v>0</v>
      </c>
      <c r="F134" s="2">
        <f t="shared" si="29"/>
        <v>0</v>
      </c>
      <c r="G134" s="2">
        <f t="shared" si="29"/>
        <v>0</v>
      </c>
      <c r="H134" s="2">
        <f t="shared" si="29"/>
        <v>0</v>
      </c>
      <c r="I134" s="2">
        <f t="shared" si="29"/>
        <v>0</v>
      </c>
      <c r="J134" s="2">
        <f t="shared" si="30"/>
        <v>0</v>
      </c>
      <c r="K134" s="2">
        <f t="shared" si="31"/>
        <v>0</v>
      </c>
    </row>
    <row r="135" spans="1:11" x14ac:dyDescent="0.25">
      <c r="A135" s="430" t="s">
        <v>152</v>
      </c>
      <c r="B135" s="431"/>
      <c r="C135" s="110"/>
      <c r="D135" s="7"/>
      <c r="E135" s="6">
        <f>'COSTOS Y GASTOS'!D157</f>
        <v>0</v>
      </c>
      <c r="F135" s="2">
        <f t="shared" si="29"/>
        <v>0</v>
      </c>
      <c r="G135" s="2">
        <f t="shared" si="29"/>
        <v>0</v>
      </c>
      <c r="H135" s="2">
        <f t="shared" si="29"/>
        <v>0</v>
      </c>
      <c r="I135" s="2">
        <f t="shared" si="29"/>
        <v>0</v>
      </c>
      <c r="J135" s="2">
        <f t="shared" si="30"/>
        <v>0</v>
      </c>
      <c r="K135" s="2">
        <f t="shared" si="31"/>
        <v>0</v>
      </c>
    </row>
    <row r="136" spans="1:11" x14ac:dyDescent="0.25">
      <c r="A136" s="430" t="s">
        <v>285</v>
      </c>
      <c r="B136" s="431"/>
      <c r="C136" s="110"/>
      <c r="D136" s="7"/>
      <c r="E136" s="6">
        <f>'COSTOS Y GASTOS'!D158</f>
        <v>0</v>
      </c>
      <c r="F136" s="2">
        <f t="shared" si="29"/>
        <v>0</v>
      </c>
      <c r="G136" s="2">
        <f t="shared" si="29"/>
        <v>0</v>
      </c>
      <c r="H136" s="2">
        <f t="shared" si="29"/>
        <v>0</v>
      </c>
      <c r="I136" s="2">
        <f t="shared" si="29"/>
        <v>0</v>
      </c>
      <c r="J136" s="2">
        <f t="shared" si="30"/>
        <v>0</v>
      </c>
      <c r="K136" s="2">
        <f t="shared" si="31"/>
        <v>0</v>
      </c>
    </row>
    <row r="137" spans="1:11" x14ac:dyDescent="0.25">
      <c r="A137" s="444" t="s">
        <v>13</v>
      </c>
      <c r="B137" s="445"/>
      <c r="C137" s="388"/>
      <c r="D137" s="387"/>
      <c r="E137" s="389">
        <f t="shared" ref="E137:K137" si="32">SUM(E126:E136)</f>
        <v>0</v>
      </c>
      <c r="F137" s="389">
        <f t="shared" si="32"/>
        <v>0</v>
      </c>
      <c r="G137" s="389">
        <f t="shared" si="32"/>
        <v>0</v>
      </c>
      <c r="H137" s="389">
        <f t="shared" si="32"/>
        <v>0</v>
      </c>
      <c r="I137" s="389">
        <f t="shared" si="32"/>
        <v>0</v>
      </c>
      <c r="J137" s="389">
        <f t="shared" si="32"/>
        <v>0</v>
      </c>
      <c r="K137" s="389">
        <f t="shared" si="32"/>
        <v>0</v>
      </c>
    </row>
    <row r="138" spans="1:11" x14ac:dyDescent="0.25">
      <c r="A138" s="446" t="s">
        <v>26</v>
      </c>
      <c r="B138" s="447"/>
      <c r="C138" s="452"/>
      <c r="D138" s="453"/>
      <c r="E138" s="453"/>
      <c r="F138" s="453"/>
      <c r="G138" s="453"/>
      <c r="H138" s="453"/>
      <c r="I138" s="453"/>
      <c r="J138" s="453"/>
      <c r="K138" s="454"/>
    </row>
    <row r="139" spans="1:11" x14ac:dyDescent="0.25">
      <c r="A139" s="430" t="s">
        <v>27</v>
      </c>
      <c r="B139" s="431"/>
      <c r="C139" s="110"/>
      <c r="D139" s="7"/>
      <c r="E139" s="6">
        <f>'COSTOS Y GASTOS'!F176</f>
        <v>0</v>
      </c>
      <c r="F139" s="2">
        <f t="shared" ref="F139:I140" si="33">+E139*(1+F$78)*F$77</f>
        <v>0</v>
      </c>
      <c r="G139" s="2">
        <f t="shared" si="33"/>
        <v>0</v>
      </c>
      <c r="H139" s="2">
        <f t="shared" si="33"/>
        <v>0</v>
      </c>
      <c r="I139" s="2">
        <f t="shared" si="33"/>
        <v>0</v>
      </c>
      <c r="J139" s="2">
        <f t="shared" ref="J139:K141" si="34">+I139*(1+J$78)*J$77</f>
        <v>0</v>
      </c>
      <c r="K139" s="2">
        <f t="shared" si="34"/>
        <v>0</v>
      </c>
    </row>
    <row r="140" spans="1:11" x14ac:dyDescent="0.25">
      <c r="A140" s="430" t="s">
        <v>28</v>
      </c>
      <c r="B140" s="431"/>
      <c r="C140" s="110"/>
      <c r="D140" s="7"/>
      <c r="E140" s="6">
        <f>'COSTOS Y GASTOS'!F177</f>
        <v>0</v>
      </c>
      <c r="F140" s="2">
        <f t="shared" si="33"/>
        <v>0</v>
      </c>
      <c r="G140" s="2">
        <f t="shared" si="33"/>
        <v>0</v>
      </c>
      <c r="H140" s="2">
        <f t="shared" si="33"/>
        <v>0</v>
      </c>
      <c r="I140" s="2">
        <f t="shared" si="33"/>
        <v>0</v>
      </c>
      <c r="J140" s="2">
        <f t="shared" si="34"/>
        <v>0</v>
      </c>
      <c r="K140" s="2">
        <f t="shared" si="34"/>
        <v>0</v>
      </c>
    </row>
    <row r="141" spans="1:11" x14ac:dyDescent="0.25">
      <c r="A141" s="430" t="s">
        <v>29</v>
      </c>
      <c r="B141" s="431"/>
      <c r="C141" s="110"/>
      <c r="D141" s="7"/>
      <c r="E141" s="6">
        <f>'COSTOS Y GASTOS'!F178</f>
        <v>21010860</v>
      </c>
      <c r="F141" s="2">
        <f>0*(1+F$78)*F$77</f>
        <v>0</v>
      </c>
      <c r="G141" s="2">
        <f>+F141*(1+G$78)*G$77</f>
        <v>0</v>
      </c>
      <c r="H141" s="2">
        <f>+G141*(1+H$78)*H$77</f>
        <v>0</v>
      </c>
      <c r="I141" s="2">
        <f>+H141*(1+I$78)*I$77</f>
        <v>0</v>
      </c>
      <c r="J141" s="2">
        <f t="shared" si="34"/>
        <v>0</v>
      </c>
      <c r="K141" s="2">
        <f t="shared" si="34"/>
        <v>0</v>
      </c>
    </row>
    <row r="142" spans="1:11" x14ac:dyDescent="0.25">
      <c r="A142" s="444" t="s">
        <v>13</v>
      </c>
      <c r="B142" s="445"/>
      <c r="C142" s="388"/>
      <c r="D142" s="387"/>
      <c r="E142" s="389">
        <f t="shared" ref="E142:K142" si="35">SUM(E139:E141)</f>
        <v>21010860</v>
      </c>
      <c r="F142" s="389">
        <f t="shared" si="35"/>
        <v>0</v>
      </c>
      <c r="G142" s="389">
        <f t="shared" si="35"/>
        <v>0</v>
      </c>
      <c r="H142" s="389">
        <f t="shared" si="35"/>
        <v>0</v>
      </c>
      <c r="I142" s="389">
        <f t="shared" si="35"/>
        <v>0</v>
      </c>
      <c r="J142" s="389">
        <f t="shared" si="35"/>
        <v>0</v>
      </c>
      <c r="K142" s="389">
        <f t="shared" si="35"/>
        <v>0</v>
      </c>
    </row>
    <row r="143" spans="1:11" x14ac:dyDescent="0.25">
      <c r="A143" s="446" t="s">
        <v>30</v>
      </c>
      <c r="B143" s="447"/>
      <c r="C143" s="452"/>
      <c r="D143" s="453"/>
      <c r="E143" s="453"/>
      <c r="F143" s="453"/>
      <c r="G143" s="453"/>
      <c r="H143" s="453"/>
      <c r="I143" s="453"/>
      <c r="J143" s="453"/>
      <c r="K143" s="454"/>
    </row>
    <row r="144" spans="1:11" x14ac:dyDescent="0.25">
      <c r="A144" s="430" t="s">
        <v>31</v>
      </c>
      <c r="B144" s="431"/>
      <c r="C144" s="110"/>
      <c r="D144" s="7"/>
      <c r="E144" s="9">
        <f>'COSTOS Y GASTOS'!E184</f>
        <v>0</v>
      </c>
      <c r="F144" s="2">
        <f t="shared" ref="F144:I151" si="36">+E144*(1+F$78)*F$77</f>
        <v>0</v>
      </c>
      <c r="G144" s="2">
        <f t="shared" si="36"/>
        <v>0</v>
      </c>
      <c r="H144" s="2">
        <f t="shared" si="36"/>
        <v>0</v>
      </c>
      <c r="I144" s="2">
        <f t="shared" si="36"/>
        <v>0</v>
      </c>
      <c r="J144" s="2">
        <f t="shared" ref="J144:J151" si="37">+I144*(1+J$78)*J$77</f>
        <v>0</v>
      </c>
      <c r="K144" s="2">
        <f t="shared" ref="K144:K151" si="38">+J144*(1+K$78)*K$77</f>
        <v>0</v>
      </c>
    </row>
    <row r="145" spans="1:11" x14ac:dyDescent="0.25">
      <c r="A145" s="430" t="s">
        <v>32</v>
      </c>
      <c r="B145" s="431"/>
      <c r="C145" s="110"/>
      <c r="D145" s="7"/>
      <c r="E145" s="9">
        <f>'COSTOS Y GASTOS'!E185</f>
        <v>0</v>
      </c>
      <c r="F145" s="2">
        <f t="shared" si="36"/>
        <v>0</v>
      </c>
      <c r="G145" s="2">
        <f t="shared" si="36"/>
        <v>0</v>
      </c>
      <c r="H145" s="2">
        <f t="shared" si="36"/>
        <v>0</v>
      </c>
      <c r="I145" s="2">
        <f t="shared" si="36"/>
        <v>0</v>
      </c>
      <c r="J145" s="2">
        <f t="shared" si="37"/>
        <v>0</v>
      </c>
      <c r="K145" s="2">
        <f t="shared" si="38"/>
        <v>0</v>
      </c>
    </row>
    <row r="146" spans="1:11" x14ac:dyDescent="0.25">
      <c r="A146" s="430" t="s">
        <v>33</v>
      </c>
      <c r="B146" s="431"/>
      <c r="C146" s="110"/>
      <c r="D146" s="7"/>
      <c r="E146" s="9">
        <f>'COSTOS Y GASTOS'!E186</f>
        <v>0</v>
      </c>
      <c r="F146" s="2">
        <f t="shared" si="36"/>
        <v>0</v>
      </c>
      <c r="G146" s="2">
        <f t="shared" si="36"/>
        <v>0</v>
      </c>
      <c r="H146" s="2">
        <f t="shared" si="36"/>
        <v>0</v>
      </c>
      <c r="I146" s="2">
        <f t="shared" si="36"/>
        <v>0</v>
      </c>
      <c r="J146" s="2">
        <f t="shared" si="37"/>
        <v>0</v>
      </c>
      <c r="K146" s="2">
        <f t="shared" si="38"/>
        <v>0</v>
      </c>
    </row>
    <row r="147" spans="1:11" x14ac:dyDescent="0.25">
      <c r="A147" s="430" t="s">
        <v>34</v>
      </c>
      <c r="B147" s="431"/>
      <c r="C147" s="110"/>
      <c r="D147" s="7"/>
      <c r="E147" s="9">
        <f>'COSTOS Y GASTOS'!E187</f>
        <v>0</v>
      </c>
      <c r="F147" s="2">
        <f t="shared" si="36"/>
        <v>0</v>
      </c>
      <c r="G147" s="2">
        <f t="shared" si="36"/>
        <v>0</v>
      </c>
      <c r="H147" s="2">
        <f t="shared" si="36"/>
        <v>0</v>
      </c>
      <c r="I147" s="2">
        <f t="shared" si="36"/>
        <v>0</v>
      </c>
      <c r="J147" s="2">
        <f t="shared" si="37"/>
        <v>0</v>
      </c>
      <c r="K147" s="2">
        <f t="shared" si="38"/>
        <v>0</v>
      </c>
    </row>
    <row r="148" spans="1:11" x14ac:dyDescent="0.25">
      <c r="A148" s="430" t="s">
        <v>35</v>
      </c>
      <c r="B148" s="431"/>
      <c r="C148" s="110"/>
      <c r="D148" s="7"/>
      <c r="E148" s="9">
        <f>'COSTOS Y GASTOS'!E188</f>
        <v>0</v>
      </c>
      <c r="F148" s="2">
        <f t="shared" si="36"/>
        <v>0</v>
      </c>
      <c r="G148" s="2">
        <f t="shared" si="36"/>
        <v>0</v>
      </c>
      <c r="H148" s="2">
        <f t="shared" si="36"/>
        <v>0</v>
      </c>
      <c r="I148" s="2">
        <f t="shared" si="36"/>
        <v>0</v>
      </c>
      <c r="J148" s="2">
        <f t="shared" si="37"/>
        <v>0</v>
      </c>
      <c r="K148" s="2">
        <f t="shared" si="38"/>
        <v>0</v>
      </c>
    </row>
    <row r="149" spans="1:11" x14ac:dyDescent="0.25">
      <c r="A149" s="430" t="s">
        <v>36</v>
      </c>
      <c r="B149" s="431"/>
      <c r="C149" s="110"/>
      <c r="D149" s="7"/>
      <c r="E149" s="9">
        <f>'COSTOS Y GASTOS'!E189</f>
        <v>0</v>
      </c>
      <c r="F149" s="2">
        <f t="shared" si="36"/>
        <v>0</v>
      </c>
      <c r="G149" s="2">
        <f t="shared" si="36"/>
        <v>0</v>
      </c>
      <c r="H149" s="2">
        <f t="shared" si="36"/>
        <v>0</v>
      </c>
      <c r="I149" s="2">
        <f t="shared" si="36"/>
        <v>0</v>
      </c>
      <c r="J149" s="2">
        <f t="shared" si="37"/>
        <v>0</v>
      </c>
      <c r="K149" s="2">
        <f t="shared" si="38"/>
        <v>0</v>
      </c>
    </row>
    <row r="150" spans="1:11" x14ac:dyDescent="0.25">
      <c r="A150" s="430" t="s">
        <v>37</v>
      </c>
      <c r="B150" s="431"/>
      <c r="C150" s="110"/>
      <c r="D150" s="7"/>
      <c r="E150" s="9">
        <f>'COSTOS Y GASTOS'!E190</f>
        <v>0</v>
      </c>
      <c r="F150" s="2">
        <f t="shared" si="36"/>
        <v>0</v>
      </c>
      <c r="G150" s="2">
        <f t="shared" si="36"/>
        <v>0</v>
      </c>
      <c r="H150" s="2">
        <f t="shared" si="36"/>
        <v>0</v>
      </c>
      <c r="I150" s="2">
        <f t="shared" si="36"/>
        <v>0</v>
      </c>
      <c r="J150" s="2">
        <f t="shared" si="37"/>
        <v>0</v>
      </c>
      <c r="K150" s="2">
        <f t="shared" si="38"/>
        <v>0</v>
      </c>
    </row>
    <row r="151" spans="1:11" x14ac:dyDescent="0.25">
      <c r="A151" s="430" t="s">
        <v>38</v>
      </c>
      <c r="B151" s="431"/>
      <c r="C151" s="110"/>
      <c r="D151" s="7"/>
      <c r="E151" s="9">
        <f>'COSTOS Y GASTOS'!E191</f>
        <v>0</v>
      </c>
      <c r="F151" s="2">
        <f t="shared" si="36"/>
        <v>0</v>
      </c>
      <c r="G151" s="2">
        <f t="shared" si="36"/>
        <v>0</v>
      </c>
      <c r="H151" s="2">
        <f t="shared" si="36"/>
        <v>0</v>
      </c>
      <c r="I151" s="2">
        <f t="shared" si="36"/>
        <v>0</v>
      </c>
      <c r="J151" s="2">
        <f t="shared" si="37"/>
        <v>0</v>
      </c>
      <c r="K151" s="2">
        <f t="shared" si="38"/>
        <v>0</v>
      </c>
    </row>
    <row r="152" spans="1:11" x14ac:dyDescent="0.25">
      <c r="A152" s="444" t="s">
        <v>13</v>
      </c>
      <c r="B152" s="449"/>
      <c r="C152" s="392"/>
      <c r="D152" s="393"/>
      <c r="E152" s="394">
        <f t="shared" ref="E152:K152" si="39">SUM(E144:E151)</f>
        <v>0</v>
      </c>
      <c r="F152" s="394">
        <f t="shared" si="39"/>
        <v>0</v>
      </c>
      <c r="G152" s="394">
        <f t="shared" si="39"/>
        <v>0</v>
      </c>
      <c r="H152" s="394">
        <f t="shared" si="39"/>
        <v>0</v>
      </c>
      <c r="I152" s="394">
        <f t="shared" si="39"/>
        <v>0</v>
      </c>
      <c r="J152" s="394">
        <f t="shared" si="39"/>
        <v>0</v>
      </c>
      <c r="K152" s="394">
        <f t="shared" si="39"/>
        <v>0</v>
      </c>
    </row>
    <row r="153" spans="1:11" x14ac:dyDescent="0.25">
      <c r="A153" s="438" t="s">
        <v>153</v>
      </c>
      <c r="B153" s="439"/>
      <c r="C153" s="460"/>
      <c r="D153" s="461"/>
      <c r="E153" s="461"/>
      <c r="F153" s="461"/>
      <c r="G153" s="461"/>
      <c r="H153" s="461"/>
      <c r="I153" s="461"/>
      <c r="J153" s="461"/>
      <c r="K153" s="462"/>
    </row>
    <row r="154" spans="1:11" x14ac:dyDescent="0.25">
      <c r="A154" s="450" t="s">
        <v>39</v>
      </c>
      <c r="B154" s="451"/>
      <c r="C154" s="116"/>
      <c r="D154" s="10"/>
      <c r="E154" s="9">
        <f>'COSTOS Y GASTOS'!E197</f>
        <v>0</v>
      </c>
      <c r="F154" s="2">
        <f t="shared" ref="F154:I156" si="40">+E154*(1+F$78)*F$77</f>
        <v>0</v>
      </c>
      <c r="G154" s="2">
        <f t="shared" si="40"/>
        <v>0</v>
      </c>
      <c r="H154" s="2">
        <f t="shared" si="40"/>
        <v>0</v>
      </c>
      <c r="I154" s="2">
        <f t="shared" si="40"/>
        <v>0</v>
      </c>
      <c r="J154" s="2">
        <f t="shared" ref="J154:K156" si="41">+I154*(1+J$78)*J$77</f>
        <v>0</v>
      </c>
      <c r="K154" s="2">
        <f t="shared" si="41"/>
        <v>0</v>
      </c>
    </row>
    <row r="155" spans="1:11" x14ac:dyDescent="0.25">
      <c r="A155" s="450" t="s">
        <v>40</v>
      </c>
      <c r="B155" s="451"/>
      <c r="C155" s="116"/>
      <c r="D155" s="10"/>
      <c r="E155" s="9">
        <f>'COSTOS Y GASTOS'!E198</f>
        <v>0</v>
      </c>
      <c r="F155" s="2">
        <f t="shared" si="40"/>
        <v>0</v>
      </c>
      <c r="G155" s="2">
        <f t="shared" si="40"/>
        <v>0</v>
      </c>
      <c r="H155" s="2">
        <f t="shared" si="40"/>
        <v>0</v>
      </c>
      <c r="I155" s="2">
        <f t="shared" si="40"/>
        <v>0</v>
      </c>
      <c r="J155" s="2">
        <f t="shared" si="41"/>
        <v>0</v>
      </c>
      <c r="K155" s="2">
        <f t="shared" si="41"/>
        <v>0</v>
      </c>
    </row>
    <row r="156" spans="1:11" x14ac:dyDescent="0.25">
      <c r="A156" s="450" t="s">
        <v>41</v>
      </c>
      <c r="B156" s="451"/>
      <c r="C156" s="116"/>
      <c r="D156" s="10"/>
      <c r="E156" s="9">
        <f>'COSTOS Y GASTOS'!E199</f>
        <v>0</v>
      </c>
      <c r="F156" s="2">
        <f t="shared" si="40"/>
        <v>0</v>
      </c>
      <c r="G156" s="2">
        <f t="shared" si="40"/>
        <v>0</v>
      </c>
      <c r="H156" s="2">
        <f t="shared" si="40"/>
        <v>0</v>
      </c>
      <c r="I156" s="2">
        <f t="shared" si="40"/>
        <v>0</v>
      </c>
      <c r="J156" s="2">
        <f t="shared" si="41"/>
        <v>0</v>
      </c>
      <c r="K156" s="2">
        <f t="shared" si="41"/>
        <v>0</v>
      </c>
    </row>
    <row r="157" spans="1:11" x14ac:dyDescent="0.25">
      <c r="A157" s="444" t="s">
        <v>13</v>
      </c>
      <c r="B157" s="449"/>
      <c r="C157" s="392"/>
      <c r="D157" s="393"/>
      <c r="E157" s="394">
        <f t="shared" ref="E157:K157" si="42">SUM(E154:E156)</f>
        <v>0</v>
      </c>
      <c r="F157" s="394">
        <f t="shared" si="42"/>
        <v>0</v>
      </c>
      <c r="G157" s="394">
        <f t="shared" si="42"/>
        <v>0</v>
      </c>
      <c r="H157" s="394">
        <f t="shared" si="42"/>
        <v>0</v>
      </c>
      <c r="I157" s="394">
        <f t="shared" si="42"/>
        <v>0</v>
      </c>
      <c r="J157" s="394">
        <f t="shared" si="42"/>
        <v>0</v>
      </c>
      <c r="K157" s="394">
        <f t="shared" si="42"/>
        <v>0</v>
      </c>
    </row>
    <row r="158" spans="1:11" x14ac:dyDescent="0.25">
      <c r="A158" s="446" t="s">
        <v>42</v>
      </c>
      <c r="B158" s="447"/>
      <c r="C158" s="452"/>
      <c r="D158" s="453"/>
      <c r="E158" s="453"/>
      <c r="F158" s="453"/>
      <c r="G158" s="453"/>
      <c r="H158" s="453"/>
      <c r="I158" s="453"/>
      <c r="J158" s="453"/>
      <c r="K158" s="454"/>
    </row>
    <row r="159" spans="1:11" x14ac:dyDescent="0.25">
      <c r="A159" s="430" t="s">
        <v>48</v>
      </c>
      <c r="B159" s="431"/>
      <c r="C159" s="110"/>
      <c r="D159" s="7"/>
      <c r="E159" s="6">
        <f>'COSTOS Y GASTOS'!E205</f>
        <v>0</v>
      </c>
      <c r="F159" s="2">
        <f t="shared" ref="F159:I177" si="43">+E159*(1+F$78)*F$77</f>
        <v>0</v>
      </c>
      <c r="G159" s="2">
        <f t="shared" si="43"/>
        <v>0</v>
      </c>
      <c r="H159" s="2">
        <f t="shared" si="43"/>
        <v>0</v>
      </c>
      <c r="I159" s="2">
        <f t="shared" si="43"/>
        <v>0</v>
      </c>
      <c r="J159" s="2">
        <f t="shared" ref="J159:J170" si="44">+I159*(1+J$78)*J$77</f>
        <v>0</v>
      </c>
      <c r="K159" s="2">
        <f t="shared" ref="K159:K170" si="45">+J159*(1+K$78)*K$77</f>
        <v>0</v>
      </c>
    </row>
    <row r="160" spans="1:11" x14ac:dyDescent="0.25">
      <c r="A160" s="430" t="s">
        <v>154</v>
      </c>
      <c r="B160" s="431"/>
      <c r="C160" s="110"/>
      <c r="D160" s="7"/>
      <c r="E160" s="6">
        <f>'COSTOS Y GASTOS'!E206</f>
        <v>0</v>
      </c>
      <c r="F160" s="2">
        <f t="shared" si="43"/>
        <v>0</v>
      </c>
      <c r="G160" s="2">
        <f t="shared" si="43"/>
        <v>0</v>
      </c>
      <c r="H160" s="2">
        <f t="shared" si="43"/>
        <v>0</v>
      </c>
      <c r="I160" s="2">
        <f t="shared" si="43"/>
        <v>0</v>
      </c>
      <c r="J160" s="2">
        <f t="shared" si="44"/>
        <v>0</v>
      </c>
      <c r="K160" s="2">
        <f t="shared" si="45"/>
        <v>0</v>
      </c>
    </row>
    <row r="161" spans="1:11" x14ac:dyDescent="0.25">
      <c r="A161" s="430" t="s">
        <v>57</v>
      </c>
      <c r="B161" s="431"/>
      <c r="C161" s="110"/>
      <c r="D161" s="7"/>
      <c r="E161" s="6">
        <f>'COSTOS Y GASTOS'!E207</f>
        <v>0</v>
      </c>
      <c r="F161" s="2">
        <f t="shared" si="43"/>
        <v>0</v>
      </c>
      <c r="G161" s="2">
        <f t="shared" si="43"/>
        <v>0</v>
      </c>
      <c r="H161" s="2">
        <f t="shared" si="43"/>
        <v>0</v>
      </c>
      <c r="I161" s="2">
        <f t="shared" si="43"/>
        <v>0</v>
      </c>
      <c r="J161" s="2">
        <f t="shared" si="44"/>
        <v>0</v>
      </c>
      <c r="K161" s="2">
        <f t="shared" si="45"/>
        <v>0</v>
      </c>
    </row>
    <row r="162" spans="1:11" x14ac:dyDescent="0.25">
      <c r="A162" s="430" t="s">
        <v>155</v>
      </c>
      <c r="B162" s="431"/>
      <c r="C162" s="110"/>
      <c r="D162" s="7"/>
      <c r="E162" s="6">
        <f>'COSTOS Y GASTOS'!E208</f>
        <v>0</v>
      </c>
      <c r="F162" s="2">
        <f t="shared" si="43"/>
        <v>0</v>
      </c>
      <c r="G162" s="2">
        <f t="shared" si="43"/>
        <v>0</v>
      </c>
      <c r="H162" s="2">
        <f t="shared" si="43"/>
        <v>0</v>
      </c>
      <c r="I162" s="2">
        <f t="shared" si="43"/>
        <v>0</v>
      </c>
      <c r="J162" s="2">
        <f t="shared" si="44"/>
        <v>0</v>
      </c>
      <c r="K162" s="2">
        <f t="shared" si="45"/>
        <v>0</v>
      </c>
    </row>
    <row r="163" spans="1:11" x14ac:dyDescent="0.25">
      <c r="A163" s="430" t="s">
        <v>156</v>
      </c>
      <c r="B163" s="431"/>
      <c r="C163" s="110"/>
      <c r="D163" s="7"/>
      <c r="E163" s="6">
        <f>'COSTOS Y GASTOS'!E209</f>
        <v>0</v>
      </c>
      <c r="F163" s="2">
        <f t="shared" si="43"/>
        <v>0</v>
      </c>
      <c r="G163" s="2">
        <f t="shared" si="43"/>
        <v>0</v>
      </c>
      <c r="H163" s="2">
        <f t="shared" si="43"/>
        <v>0</v>
      </c>
      <c r="I163" s="2">
        <f t="shared" si="43"/>
        <v>0</v>
      </c>
      <c r="J163" s="2">
        <f t="shared" si="44"/>
        <v>0</v>
      </c>
      <c r="K163" s="2">
        <f t="shared" si="45"/>
        <v>0</v>
      </c>
    </row>
    <row r="164" spans="1:11" x14ac:dyDescent="0.25">
      <c r="A164" s="430" t="s">
        <v>157</v>
      </c>
      <c r="B164" s="431"/>
      <c r="C164" s="110"/>
      <c r="D164" s="7"/>
      <c r="E164" s="6">
        <f>'COSTOS Y GASTOS'!E210</f>
        <v>0</v>
      </c>
      <c r="F164" s="2">
        <f t="shared" si="43"/>
        <v>0</v>
      </c>
      <c r="G164" s="2">
        <f t="shared" si="43"/>
        <v>0</v>
      </c>
      <c r="H164" s="2">
        <f t="shared" si="43"/>
        <v>0</v>
      </c>
      <c r="I164" s="2">
        <f t="shared" si="43"/>
        <v>0</v>
      </c>
      <c r="J164" s="2">
        <f t="shared" si="44"/>
        <v>0</v>
      </c>
      <c r="K164" s="2">
        <f t="shared" si="45"/>
        <v>0</v>
      </c>
    </row>
    <row r="165" spans="1:11" x14ac:dyDescent="0.25">
      <c r="A165" s="430" t="s">
        <v>45</v>
      </c>
      <c r="B165" s="431"/>
      <c r="C165" s="110"/>
      <c r="D165" s="7"/>
      <c r="E165" s="6">
        <f>'COSTOS Y GASTOS'!E211</f>
        <v>0</v>
      </c>
      <c r="F165" s="2">
        <f t="shared" si="43"/>
        <v>0</v>
      </c>
      <c r="G165" s="2">
        <f t="shared" si="43"/>
        <v>0</v>
      </c>
      <c r="H165" s="2">
        <f t="shared" si="43"/>
        <v>0</v>
      </c>
      <c r="I165" s="2">
        <f t="shared" si="43"/>
        <v>0</v>
      </c>
      <c r="J165" s="2">
        <f t="shared" si="44"/>
        <v>0</v>
      </c>
      <c r="K165" s="2">
        <f t="shared" si="45"/>
        <v>0</v>
      </c>
    </row>
    <row r="166" spans="1:11" x14ac:dyDescent="0.25">
      <c r="A166" s="430" t="s">
        <v>46</v>
      </c>
      <c r="B166" s="431"/>
      <c r="C166" s="110"/>
      <c r="D166" s="7"/>
      <c r="E166" s="6">
        <f>'COSTOS Y GASTOS'!E212</f>
        <v>0</v>
      </c>
      <c r="F166" s="2">
        <f t="shared" si="43"/>
        <v>0</v>
      </c>
      <c r="G166" s="2">
        <f t="shared" si="43"/>
        <v>0</v>
      </c>
      <c r="H166" s="2">
        <f t="shared" si="43"/>
        <v>0</v>
      </c>
      <c r="I166" s="2">
        <f t="shared" si="43"/>
        <v>0</v>
      </c>
      <c r="J166" s="2">
        <f t="shared" si="44"/>
        <v>0</v>
      </c>
      <c r="K166" s="2">
        <f t="shared" si="45"/>
        <v>0</v>
      </c>
    </row>
    <row r="167" spans="1:11" x14ac:dyDescent="0.25">
      <c r="A167" s="430" t="s">
        <v>47</v>
      </c>
      <c r="B167" s="431"/>
      <c r="C167" s="110"/>
      <c r="D167" s="7"/>
      <c r="E167" s="6">
        <f>'COSTOS Y GASTOS'!E213</f>
        <v>0</v>
      </c>
      <c r="F167" s="2">
        <f t="shared" si="43"/>
        <v>0</v>
      </c>
      <c r="G167" s="2">
        <f t="shared" si="43"/>
        <v>0</v>
      </c>
      <c r="H167" s="2">
        <f t="shared" si="43"/>
        <v>0</v>
      </c>
      <c r="I167" s="2">
        <f t="shared" si="43"/>
        <v>0</v>
      </c>
      <c r="J167" s="2">
        <f t="shared" si="44"/>
        <v>0</v>
      </c>
      <c r="K167" s="2">
        <f t="shared" si="45"/>
        <v>0</v>
      </c>
    </row>
    <row r="168" spans="1:11" x14ac:dyDescent="0.25">
      <c r="A168" s="430" t="s">
        <v>49</v>
      </c>
      <c r="B168" s="431"/>
      <c r="C168" s="110"/>
      <c r="D168" s="7"/>
      <c r="E168" s="6">
        <f>'COSTOS Y GASTOS'!E214</f>
        <v>0</v>
      </c>
      <c r="F168" s="2">
        <f t="shared" si="43"/>
        <v>0</v>
      </c>
      <c r="G168" s="2">
        <f t="shared" si="43"/>
        <v>0</v>
      </c>
      <c r="H168" s="2">
        <f t="shared" si="43"/>
        <v>0</v>
      </c>
      <c r="I168" s="2">
        <f t="shared" si="43"/>
        <v>0</v>
      </c>
      <c r="J168" s="2">
        <f t="shared" si="44"/>
        <v>0</v>
      </c>
      <c r="K168" s="2">
        <f t="shared" si="45"/>
        <v>0</v>
      </c>
    </row>
    <row r="169" spans="1:11" x14ac:dyDescent="0.25">
      <c r="A169" s="430" t="s">
        <v>50</v>
      </c>
      <c r="B169" s="431"/>
      <c r="C169" s="110"/>
      <c r="D169" s="7"/>
      <c r="E169" s="6">
        <f>'COSTOS Y GASTOS'!E215</f>
        <v>0</v>
      </c>
      <c r="F169" s="2">
        <f t="shared" si="43"/>
        <v>0</v>
      </c>
      <c r="G169" s="2">
        <f t="shared" si="43"/>
        <v>0</v>
      </c>
      <c r="H169" s="2">
        <f t="shared" si="43"/>
        <v>0</v>
      </c>
      <c r="I169" s="2">
        <f t="shared" si="43"/>
        <v>0</v>
      </c>
      <c r="J169" s="2">
        <f t="shared" si="44"/>
        <v>0</v>
      </c>
      <c r="K169" s="2">
        <f t="shared" si="45"/>
        <v>0</v>
      </c>
    </row>
    <row r="170" spans="1:11" x14ac:dyDescent="0.25">
      <c r="A170" s="430" t="s">
        <v>51</v>
      </c>
      <c r="B170" s="431"/>
      <c r="C170" s="110"/>
      <c r="D170" s="7"/>
      <c r="E170" s="6">
        <f>'COSTOS Y GASTOS'!E216</f>
        <v>0</v>
      </c>
      <c r="F170" s="2">
        <f t="shared" si="43"/>
        <v>0</v>
      </c>
      <c r="G170" s="2">
        <f t="shared" si="43"/>
        <v>0</v>
      </c>
      <c r="H170" s="2">
        <f t="shared" si="43"/>
        <v>0</v>
      </c>
      <c r="I170" s="2">
        <f t="shared" si="43"/>
        <v>0</v>
      </c>
      <c r="J170" s="2">
        <f t="shared" si="44"/>
        <v>0</v>
      </c>
      <c r="K170" s="2">
        <f t="shared" si="45"/>
        <v>0</v>
      </c>
    </row>
    <row r="171" spans="1:11" x14ac:dyDescent="0.25">
      <c r="A171" s="430" t="s">
        <v>52</v>
      </c>
      <c r="B171" s="431"/>
      <c r="C171" s="110"/>
      <c r="D171" s="7"/>
      <c r="E171" s="6">
        <f>'COSTOS Y GASTOS'!$E$217</f>
        <v>0</v>
      </c>
      <c r="F171" s="2">
        <f>SUM(INGRESOS!D$49:E$49)*'COSTOS Y GASTOS'!$D$217*(1+CONSOLIDADO!$F$78)</f>
        <v>0</v>
      </c>
      <c r="G171" s="2">
        <f>SUM(INGRESOS!F$49:G$49)*'COSTOS Y GASTOS'!$D$217*(1+CONSOLIDADO!$F$78)^2</f>
        <v>0</v>
      </c>
      <c r="H171" s="2">
        <f>SUM(INGRESOS!H$49:I$49)*'COSTOS Y GASTOS'!$D$217*(1+CONSOLIDADO!$F$78)^3</f>
        <v>0</v>
      </c>
      <c r="I171" s="2">
        <f>SUM(INGRESOS!J$49:K$49)*'COSTOS Y GASTOS'!$D$217*(1+CONSOLIDADO!$F$78)^4</f>
        <v>0</v>
      </c>
      <c r="J171" s="2">
        <f>SUM(INGRESOS!K$49:L$49)*'COSTOS Y GASTOS'!$D$217*(1+CONSOLIDADO!$F$78)^4</f>
        <v>0</v>
      </c>
      <c r="K171" s="2">
        <f>SUM(INGRESOS!L$49:M$49)*'COSTOS Y GASTOS'!$D$217*(1+CONSOLIDADO!$F$78)^4</f>
        <v>0</v>
      </c>
    </row>
    <row r="172" spans="1:11" x14ac:dyDescent="0.25">
      <c r="A172" s="430" t="s">
        <v>53</v>
      </c>
      <c r="B172" s="431"/>
      <c r="C172" s="110"/>
      <c r="D172" s="7"/>
      <c r="E172" s="6">
        <f>'COSTOS Y GASTOS'!E218</f>
        <v>0</v>
      </c>
      <c r="F172" s="2">
        <f t="shared" ref="F172:K173" si="46">+E172*(1+F$78)*F$77</f>
        <v>0</v>
      </c>
      <c r="G172" s="2">
        <f t="shared" si="46"/>
        <v>0</v>
      </c>
      <c r="H172" s="2">
        <f t="shared" si="46"/>
        <v>0</v>
      </c>
      <c r="I172" s="2">
        <f t="shared" si="46"/>
        <v>0</v>
      </c>
      <c r="J172" s="2">
        <f t="shared" si="46"/>
        <v>0</v>
      </c>
      <c r="K172" s="2">
        <f t="shared" si="46"/>
        <v>0</v>
      </c>
    </row>
    <row r="173" spans="1:11" x14ac:dyDescent="0.25">
      <c r="A173" s="430" t="s">
        <v>54</v>
      </c>
      <c r="B173" s="431"/>
      <c r="C173" s="110"/>
      <c r="D173" s="7"/>
      <c r="E173" s="6">
        <f>'COSTOS Y GASTOS'!E219</f>
        <v>0</v>
      </c>
      <c r="F173" s="2">
        <f t="shared" si="46"/>
        <v>0</v>
      </c>
      <c r="G173" s="2">
        <f t="shared" si="46"/>
        <v>0</v>
      </c>
      <c r="H173" s="2">
        <f t="shared" si="46"/>
        <v>0</v>
      </c>
      <c r="I173" s="2">
        <f t="shared" si="46"/>
        <v>0</v>
      </c>
      <c r="J173" s="2">
        <f t="shared" si="46"/>
        <v>0</v>
      </c>
      <c r="K173" s="2">
        <f t="shared" si="46"/>
        <v>0</v>
      </c>
    </row>
    <row r="174" spans="1:11" x14ac:dyDescent="0.25">
      <c r="A174" s="430" t="s">
        <v>55</v>
      </c>
      <c r="B174" s="431"/>
      <c r="C174" s="110"/>
      <c r="D174" s="7"/>
      <c r="E174" s="6">
        <f>'COSTOS Y GASTOS'!E220</f>
        <v>0</v>
      </c>
      <c r="F174" s="2">
        <f>SUM(INGRESOS!D$42:E$42)*'COSTOS Y GASTOS'!$D$220*(1+CONSOLIDADO!$F$78)</f>
        <v>0</v>
      </c>
      <c r="G174" s="2">
        <f>SUM(INGRESOS!F$42:G$42)*'COSTOS Y GASTOS'!$D$220*(1+CONSOLIDADO!$F$78)^2</f>
        <v>0</v>
      </c>
      <c r="H174" s="2">
        <f>SUM(INGRESOS!H$42:I$42)*'COSTOS Y GASTOS'!$D$220*(1+CONSOLIDADO!$F$78)^3</f>
        <v>0</v>
      </c>
      <c r="I174" s="2">
        <f>SUM(INGRESOS!J$42:K$42)*'COSTOS Y GASTOS'!$D$220*(1+CONSOLIDADO!$F$78)^4</f>
        <v>0</v>
      </c>
      <c r="J174" s="2">
        <f>SUM(INGRESOS!K$42:L$42)*'COSTOS Y GASTOS'!$D$220*(1+CONSOLIDADO!$F$78)^4</f>
        <v>0</v>
      </c>
      <c r="K174" s="2">
        <f>SUM(INGRESOS!L$42:M$42)*'COSTOS Y GASTOS'!$D$220*(1+CONSOLIDADO!$F$78)^4</f>
        <v>0</v>
      </c>
    </row>
    <row r="175" spans="1:11" x14ac:dyDescent="0.25">
      <c r="A175" s="430" t="s">
        <v>43</v>
      </c>
      <c r="B175" s="431"/>
      <c r="C175" s="110"/>
      <c r="D175" s="7"/>
      <c r="E175" s="6">
        <f>'COSTOS Y GASTOS'!E221</f>
        <v>0</v>
      </c>
      <c r="F175" s="2">
        <f t="shared" si="43"/>
        <v>0</v>
      </c>
      <c r="G175" s="2">
        <f t="shared" si="43"/>
        <v>0</v>
      </c>
      <c r="H175" s="2">
        <f t="shared" si="43"/>
        <v>0</v>
      </c>
      <c r="I175" s="2">
        <f t="shared" si="43"/>
        <v>0</v>
      </c>
      <c r="J175" s="2">
        <f t="shared" ref="J175:K177" si="47">+I175*(1+J$78)*J$77</f>
        <v>0</v>
      </c>
      <c r="K175" s="2">
        <f t="shared" si="47"/>
        <v>0</v>
      </c>
    </row>
    <row r="176" spans="1:11" x14ac:dyDescent="0.25">
      <c r="A176" s="430" t="s">
        <v>56</v>
      </c>
      <c r="B176" s="431"/>
      <c r="C176" s="110"/>
      <c r="D176" s="7"/>
      <c r="E176" s="6">
        <f>'COSTOS Y GASTOS'!E222</f>
        <v>0</v>
      </c>
      <c r="F176" s="2">
        <f t="shared" si="43"/>
        <v>0</v>
      </c>
      <c r="G176" s="2">
        <f t="shared" si="43"/>
        <v>0</v>
      </c>
      <c r="H176" s="2">
        <f t="shared" si="43"/>
        <v>0</v>
      </c>
      <c r="I176" s="2">
        <f t="shared" si="43"/>
        <v>0</v>
      </c>
      <c r="J176" s="2">
        <f t="shared" si="47"/>
        <v>0</v>
      </c>
      <c r="K176" s="2">
        <f t="shared" si="47"/>
        <v>0</v>
      </c>
    </row>
    <row r="177" spans="1:15" x14ac:dyDescent="0.25">
      <c r="A177" s="430" t="s">
        <v>58</v>
      </c>
      <c r="B177" s="431"/>
      <c r="C177" s="110"/>
      <c r="D177" s="7"/>
      <c r="E177" s="6">
        <f>'COSTOS Y GASTOS'!E223</f>
        <v>0</v>
      </c>
      <c r="F177" s="2">
        <f t="shared" si="43"/>
        <v>0</v>
      </c>
      <c r="G177" s="2">
        <f t="shared" si="43"/>
        <v>0</v>
      </c>
      <c r="H177" s="2">
        <f t="shared" si="43"/>
        <v>0</v>
      </c>
      <c r="I177" s="2">
        <f t="shared" si="43"/>
        <v>0</v>
      </c>
      <c r="J177" s="2">
        <f t="shared" si="47"/>
        <v>0</v>
      </c>
      <c r="K177" s="2">
        <f t="shared" si="47"/>
        <v>0</v>
      </c>
    </row>
    <row r="178" spans="1:15" ht="15.75" thickBot="1" x14ac:dyDescent="0.3">
      <c r="A178" s="395"/>
      <c r="B178" s="396" t="s">
        <v>13</v>
      </c>
      <c r="C178" s="397"/>
      <c r="D178" s="396"/>
      <c r="E178" s="398">
        <f t="shared" ref="E178:K178" si="48">SUM(E159:E177)</f>
        <v>0</v>
      </c>
      <c r="F178" s="398">
        <f t="shared" si="48"/>
        <v>0</v>
      </c>
      <c r="G178" s="398">
        <f t="shared" si="48"/>
        <v>0</v>
      </c>
      <c r="H178" s="398">
        <f t="shared" si="48"/>
        <v>0</v>
      </c>
      <c r="I178" s="398">
        <f t="shared" si="48"/>
        <v>0</v>
      </c>
      <c r="J178" s="398">
        <f t="shared" si="48"/>
        <v>0</v>
      </c>
      <c r="K178" s="398">
        <f t="shared" si="48"/>
        <v>0</v>
      </c>
    </row>
    <row r="179" spans="1:15" ht="15.75" thickTop="1" x14ac:dyDescent="0.25">
      <c r="A179" s="466" t="s">
        <v>59</v>
      </c>
      <c r="B179" s="467"/>
      <c r="C179" s="463"/>
      <c r="D179" s="464"/>
      <c r="E179" s="464"/>
      <c r="F179" s="464"/>
      <c r="G179" s="464"/>
      <c r="H179" s="464"/>
      <c r="I179" s="464"/>
      <c r="J179" s="464"/>
      <c r="K179" s="465"/>
      <c r="M179" s="167">
        <f>+M188-SUM(E183:L183)-SUM(E186:L186)</f>
        <v>21010860</v>
      </c>
      <c r="O179" s="167">
        <f>M75-M179</f>
        <v>-21010860</v>
      </c>
    </row>
    <row r="180" spans="1:15" x14ac:dyDescent="0.25">
      <c r="A180" s="468" t="s">
        <v>60</v>
      </c>
      <c r="B180" s="469"/>
      <c r="C180" s="110"/>
      <c r="D180" s="373">
        <v>0.05</v>
      </c>
      <c r="E180" s="6">
        <f t="shared" ref="E180:K182" si="49">E$75*$D180</f>
        <v>0</v>
      </c>
      <c r="F180" s="6">
        <f t="shared" si="49"/>
        <v>0</v>
      </c>
      <c r="G180" s="6">
        <f t="shared" si="49"/>
        <v>0</v>
      </c>
      <c r="H180" s="6">
        <f t="shared" si="49"/>
        <v>0</v>
      </c>
      <c r="I180" s="6">
        <f t="shared" si="49"/>
        <v>0</v>
      </c>
      <c r="J180" s="6">
        <f t="shared" si="49"/>
        <v>0</v>
      </c>
      <c r="K180" s="6">
        <f t="shared" si="49"/>
        <v>0</v>
      </c>
      <c r="M180" s="167">
        <f>SUM(E180:L180)</f>
        <v>0</v>
      </c>
    </row>
    <row r="181" spans="1:15" x14ac:dyDescent="0.25">
      <c r="A181" s="430" t="s">
        <v>61</v>
      </c>
      <c r="B181" s="431"/>
      <c r="C181" s="110"/>
      <c r="D181" s="373">
        <v>0.02</v>
      </c>
      <c r="E181" s="6">
        <f t="shared" si="49"/>
        <v>0</v>
      </c>
      <c r="F181" s="6">
        <f t="shared" si="49"/>
        <v>0</v>
      </c>
      <c r="G181" s="6">
        <f t="shared" si="49"/>
        <v>0</v>
      </c>
      <c r="H181" s="6">
        <f t="shared" si="49"/>
        <v>0</v>
      </c>
      <c r="I181" s="6">
        <f t="shared" si="49"/>
        <v>0</v>
      </c>
      <c r="J181" s="6">
        <f t="shared" si="49"/>
        <v>0</v>
      </c>
      <c r="K181" s="6">
        <f t="shared" si="49"/>
        <v>0</v>
      </c>
      <c r="M181" s="167">
        <f>SUM(E181:L181)</f>
        <v>0</v>
      </c>
    </row>
    <row r="182" spans="1:15" x14ac:dyDescent="0.25">
      <c r="A182" s="430" t="s">
        <v>62</v>
      </c>
      <c r="B182" s="431"/>
      <c r="C182" s="110"/>
      <c r="D182" s="373">
        <v>0.02</v>
      </c>
      <c r="E182" s="6">
        <f t="shared" si="49"/>
        <v>0</v>
      </c>
      <c r="F182" s="6">
        <f t="shared" si="49"/>
        <v>0</v>
      </c>
      <c r="G182" s="6">
        <f t="shared" si="49"/>
        <v>0</v>
      </c>
      <c r="H182" s="6">
        <f t="shared" si="49"/>
        <v>0</v>
      </c>
      <c r="I182" s="6">
        <f t="shared" si="49"/>
        <v>0</v>
      </c>
      <c r="J182" s="6">
        <f t="shared" si="49"/>
        <v>0</v>
      </c>
      <c r="K182" s="6">
        <f t="shared" si="49"/>
        <v>0</v>
      </c>
      <c r="M182" s="167">
        <f>SUM(E182:L182)</f>
        <v>0</v>
      </c>
    </row>
    <row r="183" spans="1:15" x14ac:dyDescent="0.25">
      <c r="A183" s="444" t="s">
        <v>13</v>
      </c>
      <c r="B183" s="445"/>
      <c r="C183" s="390"/>
      <c r="D183" s="391"/>
      <c r="E183" s="389">
        <f t="shared" ref="E183:K183" si="50">SUM(E180:E182)</f>
        <v>0</v>
      </c>
      <c r="F183" s="389">
        <f t="shared" si="50"/>
        <v>0</v>
      </c>
      <c r="G183" s="389">
        <f t="shared" si="50"/>
        <v>0</v>
      </c>
      <c r="H183" s="389">
        <f t="shared" si="50"/>
        <v>0</v>
      </c>
      <c r="I183" s="389">
        <f t="shared" si="50"/>
        <v>0</v>
      </c>
      <c r="J183" s="389">
        <f t="shared" si="50"/>
        <v>0</v>
      </c>
      <c r="K183" s="389">
        <f t="shared" si="50"/>
        <v>0</v>
      </c>
    </row>
    <row r="184" spans="1:15" x14ac:dyDescent="0.25">
      <c r="A184" s="446" t="s">
        <v>63</v>
      </c>
      <c r="B184" s="447"/>
      <c r="C184" s="452"/>
      <c r="D184" s="453"/>
      <c r="E184" s="453"/>
      <c r="F184" s="453"/>
      <c r="G184" s="453"/>
      <c r="H184" s="453"/>
      <c r="I184" s="453"/>
      <c r="J184" s="453"/>
      <c r="K184" s="454"/>
    </row>
    <row r="185" spans="1:15" ht="19.5" customHeight="1" x14ac:dyDescent="0.25">
      <c r="A185" s="458" t="str">
        <f>+A184</f>
        <v>Apoyo Academico, Administrativo, Planta Fisica</v>
      </c>
      <c r="B185" s="459"/>
      <c r="D185" s="103">
        <f>IF(INGRESOS!A2=INGRESOS!A100,INGRESOS!B100,IF(INGRESOS!A2=INGRESOS!A101,INGRESOS!B101,IF(INGRESOS!A2=INGRESOS!A102,INGRESOS!B102,IF(INGRESOS!A2=INGRESOS!A103,INGRESOS!B103,IF(INGRESOS!A2=INGRESOS!A104,INGRESOS!B104,IF(INGRESOS!A2=INGRESOS!A105,INGRESOS!B105,0))))))</f>
        <v>0</v>
      </c>
      <c r="E185" s="6">
        <f t="shared" ref="E185:K185" si="51">E$75*$D185</f>
        <v>0</v>
      </c>
      <c r="F185" s="6">
        <f t="shared" si="51"/>
        <v>0</v>
      </c>
      <c r="G185" s="6">
        <f t="shared" si="51"/>
        <v>0</v>
      </c>
      <c r="H185" s="6">
        <f t="shared" si="51"/>
        <v>0</v>
      </c>
      <c r="I185" s="6">
        <f t="shared" si="51"/>
        <v>0</v>
      </c>
      <c r="J185" s="6">
        <f t="shared" si="51"/>
        <v>0</v>
      </c>
      <c r="K185" s="6">
        <f t="shared" si="51"/>
        <v>0</v>
      </c>
    </row>
    <row r="186" spans="1:15" ht="15.75" thickBot="1" x14ac:dyDescent="0.3">
      <c r="A186" s="395"/>
      <c r="B186" s="396" t="s">
        <v>13</v>
      </c>
      <c r="C186" s="399"/>
      <c r="D186" s="396"/>
      <c r="E186" s="398">
        <f t="shared" ref="E186:K186" si="52">SUM(E185)</f>
        <v>0</v>
      </c>
      <c r="F186" s="398">
        <f t="shared" si="52"/>
        <v>0</v>
      </c>
      <c r="G186" s="398">
        <f t="shared" si="52"/>
        <v>0</v>
      </c>
      <c r="H186" s="398">
        <f t="shared" si="52"/>
        <v>0</v>
      </c>
      <c r="I186" s="398">
        <f t="shared" si="52"/>
        <v>0</v>
      </c>
      <c r="J186" s="398">
        <f t="shared" si="52"/>
        <v>0</v>
      </c>
      <c r="K186" s="398">
        <f t="shared" si="52"/>
        <v>0</v>
      </c>
      <c r="M186" s="167">
        <f>SUM(E186:L186)</f>
        <v>0</v>
      </c>
    </row>
    <row r="187" spans="1:15" ht="7.5" customHeight="1" thickTop="1" thickBot="1" x14ac:dyDescent="0.3">
      <c r="A187" s="234"/>
      <c r="C187" s="105"/>
      <c r="D187" s="29"/>
      <c r="E187" s="29"/>
      <c r="F187" s="29"/>
      <c r="G187" s="29"/>
      <c r="H187" s="29"/>
      <c r="I187" s="29"/>
      <c r="J187" s="29"/>
      <c r="K187" s="235"/>
    </row>
    <row r="188" spans="1:15" ht="17.25" thickTop="1" thickBot="1" x14ac:dyDescent="0.3">
      <c r="A188" s="382"/>
      <c r="B188" s="370" t="s">
        <v>64</v>
      </c>
      <c r="C188" s="371"/>
      <c r="D188" s="372"/>
      <c r="E188" s="163">
        <f>+E92+E97+E112+E118+E124+E137+E142+E152+E108+E178+E186+E183+E157</f>
        <v>21010860</v>
      </c>
      <c r="F188" s="163">
        <f t="shared" ref="F188:K188" si="53">+F92+F97+F112+F118+F124+F137+F142+F152+F108+F178+F186+F183+F157</f>
        <v>0</v>
      </c>
      <c r="G188" s="163">
        <f t="shared" si="53"/>
        <v>0</v>
      </c>
      <c r="H188" s="163">
        <f t="shared" si="53"/>
        <v>0</v>
      </c>
      <c r="I188" s="163">
        <f t="shared" si="53"/>
        <v>0</v>
      </c>
      <c r="J188" s="163">
        <f t="shared" si="53"/>
        <v>0</v>
      </c>
      <c r="K188" s="163">
        <f t="shared" si="53"/>
        <v>0</v>
      </c>
      <c r="M188" s="142">
        <f>SUM(E188:L188)</f>
        <v>21010860</v>
      </c>
    </row>
    <row r="189" spans="1:15" ht="8.25" customHeight="1" thickTop="1" thickBot="1" x14ac:dyDescent="0.3">
      <c r="A189" s="236"/>
      <c r="B189" s="33"/>
      <c r="C189" s="118"/>
      <c r="D189" s="34"/>
      <c r="E189" s="35"/>
      <c r="F189" s="35"/>
      <c r="G189" s="35"/>
      <c r="H189" s="35"/>
      <c r="I189" s="35"/>
      <c r="J189" s="35"/>
      <c r="K189" s="237"/>
    </row>
    <row r="190" spans="1:15" ht="17.25" thickTop="1" thickBot="1" x14ac:dyDescent="0.3">
      <c r="A190" s="207"/>
      <c r="B190" s="370" t="s">
        <v>65</v>
      </c>
      <c r="C190" s="371"/>
      <c r="D190" s="372"/>
      <c r="E190" s="163">
        <f t="shared" ref="E190:K190" si="54">E75-E188</f>
        <v>-21010860</v>
      </c>
      <c r="F190" s="163">
        <f t="shared" si="54"/>
        <v>0</v>
      </c>
      <c r="G190" s="163">
        <f t="shared" si="54"/>
        <v>0</v>
      </c>
      <c r="H190" s="163">
        <f t="shared" si="54"/>
        <v>0</v>
      </c>
      <c r="I190" s="163">
        <f t="shared" si="54"/>
        <v>0</v>
      </c>
      <c r="J190" s="163">
        <f t="shared" si="54"/>
        <v>0</v>
      </c>
      <c r="K190" s="163">
        <f t="shared" si="54"/>
        <v>0</v>
      </c>
      <c r="M190" s="142">
        <f>SUM(E190:L190)</f>
        <v>-21010860</v>
      </c>
    </row>
    <row r="191" spans="1:15" ht="9" customHeight="1" thickTop="1" x14ac:dyDescent="0.25">
      <c r="A191" s="383"/>
      <c r="B191" s="30"/>
      <c r="C191" s="117"/>
      <c r="D191" s="31"/>
      <c r="E191" s="32"/>
      <c r="K191" s="98"/>
    </row>
    <row r="192" spans="1:15" ht="13.5" customHeight="1" x14ac:dyDescent="0.25">
      <c r="A192" s="383"/>
      <c r="B192" s="401" t="s">
        <v>455</v>
      </c>
      <c r="C192" s="110"/>
      <c r="D192" s="7"/>
      <c r="E192" s="6">
        <f>'Adquisición Infraestructura'!E23</f>
        <v>0</v>
      </c>
      <c r="F192" s="6">
        <f>'Adquisición Infraestructura'!F23</f>
        <v>0</v>
      </c>
      <c r="G192" s="6">
        <f>'Adquisición Infraestructura'!G23</f>
        <v>0</v>
      </c>
      <c r="H192" s="6">
        <f>'Adquisición Infraestructura'!H23</f>
        <v>0</v>
      </c>
      <c r="I192" s="6">
        <f>'Adquisición Infraestructura'!I23</f>
        <v>0</v>
      </c>
      <c r="J192" s="6">
        <f>'Adquisición Infraestructura'!J23</f>
        <v>0</v>
      </c>
      <c r="K192" s="6">
        <f>'Adquisición Infraestructura'!K23</f>
        <v>0</v>
      </c>
    </row>
    <row r="193" spans="1:15" ht="13.5" customHeight="1" thickBot="1" x14ac:dyDescent="0.3">
      <c r="A193" s="383"/>
      <c r="B193" s="402" t="s">
        <v>456</v>
      </c>
      <c r="C193" s="403"/>
      <c r="D193" s="404"/>
      <c r="E193" s="405">
        <f>'Adquisición Medios'!E17</f>
        <v>0</v>
      </c>
      <c r="F193" s="405">
        <f>'Adquisición Medios'!F17</f>
        <v>0</v>
      </c>
      <c r="G193" s="405">
        <f>'Adquisición Medios'!G17</f>
        <v>0</v>
      </c>
      <c r="H193" s="405">
        <f>'Adquisición Medios'!H17</f>
        <v>0</v>
      </c>
      <c r="I193" s="405">
        <f>'Adquisición Medios'!I17</f>
        <v>0</v>
      </c>
      <c r="J193" s="405">
        <f>'Adquisición Medios'!J17</f>
        <v>0</v>
      </c>
      <c r="K193" s="405">
        <f>'Adquisición Medios'!K17</f>
        <v>0</v>
      </c>
    </row>
    <row r="194" spans="1:15" ht="17.25" thickTop="1" thickBot="1" x14ac:dyDescent="0.3">
      <c r="B194" s="455" t="s">
        <v>457</v>
      </c>
      <c r="C194" s="456"/>
      <c r="D194" s="457"/>
      <c r="E194" s="400">
        <f>SUM(E192:E193)</f>
        <v>0</v>
      </c>
      <c r="F194" s="400">
        <f t="shared" ref="F194:K194" si="55">SUM(F192:F193)</f>
        <v>0</v>
      </c>
      <c r="G194" s="400">
        <f t="shared" si="55"/>
        <v>0</v>
      </c>
      <c r="H194" s="400">
        <f t="shared" si="55"/>
        <v>0</v>
      </c>
      <c r="I194" s="400">
        <f t="shared" si="55"/>
        <v>0</v>
      </c>
      <c r="J194" s="400">
        <f t="shared" si="55"/>
        <v>0</v>
      </c>
      <c r="K194" s="400">
        <f t="shared" si="55"/>
        <v>0</v>
      </c>
      <c r="M194" s="142">
        <f>SUM(E194:L194)</f>
        <v>0</v>
      </c>
      <c r="O194" s="142">
        <f>+M190-M194</f>
        <v>-21010860</v>
      </c>
    </row>
    <row r="195" spans="1:15" ht="10.5" customHeight="1" thickTop="1" x14ac:dyDescent="0.25"/>
  </sheetData>
  <mergeCells count="189">
    <mergeCell ref="C184:K184"/>
    <mergeCell ref="B194:D194"/>
    <mergeCell ref="A184:B184"/>
    <mergeCell ref="A185:B185"/>
    <mergeCell ref="C80:K80"/>
    <mergeCell ref="C84:K84"/>
    <mergeCell ref="C93:K93"/>
    <mergeCell ref="C98:K98"/>
    <mergeCell ref="C103:K103"/>
    <mergeCell ref="C109:K109"/>
    <mergeCell ref="C113:K113"/>
    <mergeCell ref="C119:K119"/>
    <mergeCell ref="C125:K125"/>
    <mergeCell ref="C138:K138"/>
    <mergeCell ref="C143:K143"/>
    <mergeCell ref="C153:K153"/>
    <mergeCell ref="C158:K158"/>
    <mergeCell ref="C179:K179"/>
    <mergeCell ref="A179:B179"/>
    <mergeCell ref="A181:B181"/>
    <mergeCell ref="A180:B180"/>
    <mergeCell ref="A182:B182"/>
    <mergeCell ref="A183:B183"/>
    <mergeCell ref="A172:B172"/>
    <mergeCell ref="A174:B174"/>
    <mergeCell ref="A173:B173"/>
    <mergeCell ref="A177:B177"/>
    <mergeCell ref="A176:B176"/>
    <mergeCell ref="A157:B157"/>
    <mergeCell ref="A158:B158"/>
    <mergeCell ref="A166:B166"/>
    <mergeCell ref="A171:B171"/>
    <mergeCell ref="A175:B175"/>
    <mergeCell ref="A168:B168"/>
    <mergeCell ref="A160:B160"/>
    <mergeCell ref="A162:B162"/>
    <mergeCell ref="A164:B164"/>
    <mergeCell ref="A167:B167"/>
    <mergeCell ref="A161:B161"/>
    <mergeCell ref="A159:B159"/>
    <mergeCell ref="A163:B163"/>
    <mergeCell ref="A165:B165"/>
    <mergeCell ref="A169:B169"/>
    <mergeCell ref="A170:B170"/>
    <mergeCell ref="A152:B152"/>
    <mergeCell ref="A153:B153"/>
    <mergeCell ref="A155:B155"/>
    <mergeCell ref="A156:B156"/>
    <mergeCell ref="A154:B154"/>
    <mergeCell ref="A151:B151"/>
    <mergeCell ref="A150:B150"/>
    <mergeCell ref="A148:B148"/>
    <mergeCell ref="A146:B146"/>
    <mergeCell ref="A144:B144"/>
    <mergeCell ref="A141:B141"/>
    <mergeCell ref="A142:B142"/>
    <mergeCell ref="A143:B143"/>
    <mergeCell ref="A147:B147"/>
    <mergeCell ref="A149:B149"/>
    <mergeCell ref="A145:B145"/>
    <mergeCell ref="A135:B135"/>
    <mergeCell ref="A136:B136"/>
    <mergeCell ref="A137:B137"/>
    <mergeCell ref="A138:B138"/>
    <mergeCell ref="A140:B140"/>
    <mergeCell ref="A139:B139"/>
    <mergeCell ref="A124:B124"/>
    <mergeCell ref="A125:B125"/>
    <mergeCell ref="A130:B130"/>
    <mergeCell ref="A134:B134"/>
    <mergeCell ref="A132:B132"/>
    <mergeCell ref="A127:B127"/>
    <mergeCell ref="A128:B128"/>
    <mergeCell ref="A133:B133"/>
    <mergeCell ref="A129:B129"/>
    <mergeCell ref="A126:B126"/>
    <mergeCell ref="A131:B131"/>
    <mergeCell ref="A119:B119"/>
    <mergeCell ref="A121:B121"/>
    <mergeCell ref="A123:B123"/>
    <mergeCell ref="A122:B122"/>
    <mergeCell ref="A120:B120"/>
    <mergeCell ref="A115:B115"/>
    <mergeCell ref="A116:B116"/>
    <mergeCell ref="A117:B117"/>
    <mergeCell ref="A114:B114"/>
    <mergeCell ref="A118:B118"/>
    <mergeCell ref="A108:B108"/>
    <mergeCell ref="A109:B109"/>
    <mergeCell ref="A111:B111"/>
    <mergeCell ref="A113:B113"/>
    <mergeCell ref="A112:B112"/>
    <mergeCell ref="A103:B103"/>
    <mergeCell ref="A105:B105"/>
    <mergeCell ref="A107:B107"/>
    <mergeCell ref="A106:B106"/>
    <mergeCell ref="A104:B104"/>
    <mergeCell ref="A98:B98"/>
    <mergeCell ref="A100:B100"/>
    <mergeCell ref="A102:B102"/>
    <mergeCell ref="A101:B101"/>
    <mergeCell ref="A99:B99"/>
    <mergeCell ref="A93:B93"/>
    <mergeCell ref="A94:B94"/>
    <mergeCell ref="A95:B95"/>
    <mergeCell ref="A96:B96"/>
    <mergeCell ref="A97:B97"/>
    <mergeCell ref="A87:B87"/>
    <mergeCell ref="A89:B89"/>
    <mergeCell ref="A91:B91"/>
    <mergeCell ref="A85:B85"/>
    <mergeCell ref="A88:B88"/>
    <mergeCell ref="A86:B86"/>
    <mergeCell ref="A90:B90"/>
    <mergeCell ref="A74:B74"/>
    <mergeCell ref="A75:B75"/>
    <mergeCell ref="A80:B80"/>
    <mergeCell ref="A84:B84"/>
    <mergeCell ref="A82:B82"/>
    <mergeCell ref="A83:B83"/>
    <mergeCell ref="A81:B81"/>
    <mergeCell ref="A28:B28"/>
    <mergeCell ref="A71:B71"/>
    <mergeCell ref="A73:B73"/>
    <mergeCell ref="A72:B72"/>
    <mergeCell ref="A70:B70"/>
    <mergeCell ref="A69:B69"/>
    <mergeCell ref="A51:B51"/>
    <mergeCell ref="A54:B54"/>
    <mergeCell ref="A56:B56"/>
    <mergeCell ref="A65:B65"/>
    <mergeCell ref="A68:B68"/>
    <mergeCell ref="A66:B66"/>
    <mergeCell ref="A67:B67"/>
    <mergeCell ref="A61:B61"/>
    <mergeCell ref="A59:B59"/>
    <mergeCell ref="A63:B63"/>
    <mergeCell ref="A60:B60"/>
    <mergeCell ref="A58:B58"/>
    <mergeCell ref="A62:B62"/>
    <mergeCell ref="A64:B64"/>
    <mergeCell ref="A27:B27"/>
    <mergeCell ref="A40:B40"/>
    <mergeCell ref="A15:B15"/>
    <mergeCell ref="A41:B41"/>
    <mergeCell ref="A49:B49"/>
    <mergeCell ref="A57:B57"/>
    <mergeCell ref="A42:B42"/>
    <mergeCell ref="A45:B45"/>
    <mergeCell ref="A47:B47"/>
    <mergeCell ref="A44:B44"/>
    <mergeCell ref="A43:B43"/>
    <mergeCell ref="A46:B46"/>
    <mergeCell ref="A48:B48"/>
    <mergeCell ref="A53:B53"/>
    <mergeCell ref="A55:B55"/>
    <mergeCell ref="A50:B50"/>
    <mergeCell ref="A52:B52"/>
    <mergeCell ref="A33:B33"/>
    <mergeCell ref="A34:B34"/>
    <mergeCell ref="A37:B37"/>
    <mergeCell ref="A39:B39"/>
    <mergeCell ref="A36:B36"/>
    <mergeCell ref="A35:B35"/>
    <mergeCell ref="A38:B38"/>
    <mergeCell ref="M2:M8"/>
    <mergeCell ref="A16:K16"/>
    <mergeCell ref="A79:K79"/>
    <mergeCell ref="I11:J11"/>
    <mergeCell ref="I13:J13"/>
    <mergeCell ref="A5:K5"/>
    <mergeCell ref="A6:K6"/>
    <mergeCell ref="J10:K10"/>
    <mergeCell ref="A10:B10"/>
    <mergeCell ref="C10:G10"/>
    <mergeCell ref="A17:B17"/>
    <mergeCell ref="A18:B18"/>
    <mergeCell ref="A19:B19"/>
    <mergeCell ref="A20:B20"/>
    <mergeCell ref="A21:B21"/>
    <mergeCell ref="A22:B22"/>
    <mergeCell ref="A29:B29"/>
    <mergeCell ref="A30:B30"/>
    <mergeCell ref="A31:B31"/>
    <mergeCell ref="A32:B32"/>
    <mergeCell ref="A23:B23"/>
    <mergeCell ref="A24:B24"/>
    <mergeCell ref="A25:B25"/>
    <mergeCell ref="A26:B26"/>
  </mergeCells>
  <printOptions horizontalCentered="1"/>
  <pageMargins left="0.11811023622047245" right="0.11811023622047245" top="0.15748031496062992" bottom="0.15748031496062992" header="0.31496062992125984" footer="0.31496062992125984"/>
  <pageSetup scale="7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7"/>
  <sheetViews>
    <sheetView zoomScale="90" zoomScaleNormal="90" workbookViewId="0">
      <pane xSplit="7" ySplit="2" topLeftCell="H107" activePane="bottomRight" state="frozen"/>
      <selection pane="topRight" activeCell="H1" sqref="H1"/>
      <selection pane="bottomLeft" activeCell="A3" sqref="A3"/>
      <selection pane="bottomRight" activeCell="G19" sqref="G19"/>
    </sheetView>
  </sheetViews>
  <sheetFormatPr baseColWidth="10" defaultColWidth="20.7109375" defaultRowHeight="15" outlineLevelRow="1" x14ac:dyDescent="0.25"/>
  <cols>
    <col min="1" max="1" width="14.7109375" style="245" customWidth="1"/>
    <col min="2" max="10" width="10" style="245" customWidth="1"/>
    <col min="11" max="11" width="10" style="246" customWidth="1"/>
    <col min="12" max="14" width="10" style="245" customWidth="1"/>
    <col min="15" max="15" width="10" style="246" customWidth="1"/>
    <col min="16" max="16" width="10.5703125" style="245" customWidth="1"/>
    <col min="17" max="18" width="15.85546875" style="245" bestFit="1" customWidth="1"/>
    <col min="19" max="19" width="17.28515625" style="245" customWidth="1"/>
    <col min="20" max="20" width="17" style="245" customWidth="1"/>
    <col min="21" max="23" width="17.140625" style="245" customWidth="1"/>
    <col min="24" max="24" width="4.28515625" style="245" customWidth="1"/>
    <col min="25" max="25" width="11.7109375" style="245" customWidth="1"/>
    <col min="26" max="26" width="11" style="245" customWidth="1"/>
    <col min="27" max="27" width="14" style="245" customWidth="1"/>
    <col min="28" max="28" width="9.85546875" style="245" customWidth="1"/>
    <col min="29" max="33" width="12" style="245" customWidth="1"/>
    <col min="34" max="16384" width="20.7109375" style="245"/>
  </cols>
  <sheetData>
    <row r="1" spans="1:27" ht="20.25" customHeight="1" thickTop="1" x14ac:dyDescent="0.25">
      <c r="A1" s="485" t="s">
        <v>158</v>
      </c>
      <c r="B1" s="486"/>
      <c r="C1" s="486"/>
      <c r="D1" s="486"/>
      <c r="E1" s="486"/>
      <c r="F1" s="487"/>
      <c r="I1" s="494" t="s">
        <v>381</v>
      </c>
      <c r="J1" s="494"/>
      <c r="K1" s="494"/>
      <c r="L1" s="494"/>
      <c r="M1" s="494"/>
      <c r="AA1" s="245" t="s">
        <v>431</v>
      </c>
    </row>
    <row r="2" spans="1:27" ht="16.5" customHeight="1" thickBot="1" x14ac:dyDescent="0.3">
      <c r="A2" s="488"/>
      <c r="B2" s="489"/>
      <c r="C2" s="489"/>
      <c r="D2" s="489"/>
      <c r="E2" s="489"/>
      <c r="F2" s="490"/>
      <c r="I2" s="494"/>
      <c r="J2" s="494"/>
      <c r="K2" s="494"/>
      <c r="L2" s="494"/>
      <c r="M2" s="494"/>
      <c r="Q2" s="247" t="s">
        <v>305</v>
      </c>
      <c r="R2" s="351">
        <v>0.05</v>
      </c>
      <c r="AA2" s="245" t="s">
        <v>432</v>
      </c>
    </row>
    <row r="3" spans="1:27" ht="15" customHeight="1" thickTop="1" x14ac:dyDescent="0.25">
      <c r="A3" s="243"/>
      <c r="B3" s="243"/>
      <c r="C3" s="243"/>
      <c r="D3" s="243"/>
      <c r="E3" s="243"/>
      <c r="F3" s="243"/>
      <c r="AA3" s="245" t="s">
        <v>458</v>
      </c>
    </row>
    <row r="4" spans="1:27" ht="7.5" customHeight="1" thickBot="1" x14ac:dyDescent="0.3">
      <c r="A4" s="244"/>
      <c r="B4" s="244"/>
      <c r="C4" s="244"/>
      <c r="D4" s="244"/>
      <c r="E4" s="244"/>
      <c r="F4" s="244"/>
    </row>
    <row r="5" spans="1:27" ht="13.5" customHeight="1" thickTop="1" x14ac:dyDescent="0.25">
      <c r="A5" s="491" t="s">
        <v>159</v>
      </c>
      <c r="B5" s="492"/>
      <c r="C5" s="492"/>
      <c r="D5" s="492"/>
      <c r="E5" s="492"/>
      <c r="F5" s="493"/>
      <c r="I5" s="357" t="s">
        <v>430</v>
      </c>
      <c r="J5" s="280" t="s">
        <v>431</v>
      </c>
    </row>
    <row r="6" spans="1:27" ht="13.5" customHeight="1" x14ac:dyDescent="0.25">
      <c r="A6" s="482"/>
      <c r="B6" s="483"/>
      <c r="C6" s="483"/>
      <c r="D6" s="483"/>
      <c r="E6" s="483"/>
      <c r="F6" s="484"/>
      <c r="Q6" s="209">
        <f>P9</f>
        <v>102511</v>
      </c>
      <c r="R6" s="209">
        <f t="shared" ref="R6:W6" si="0">+Q6*(1+$R$2)</f>
        <v>107636.55</v>
      </c>
      <c r="S6" s="209">
        <f t="shared" si="0"/>
        <v>113018.3775</v>
      </c>
      <c r="T6" s="209">
        <f t="shared" si="0"/>
        <v>118669.29637500001</v>
      </c>
      <c r="U6" s="209">
        <f t="shared" si="0"/>
        <v>124602.76119375</v>
      </c>
      <c r="V6" s="209">
        <f t="shared" si="0"/>
        <v>130832.89925343751</v>
      </c>
      <c r="W6" s="209">
        <f t="shared" si="0"/>
        <v>137374.54421610938</v>
      </c>
    </row>
    <row r="7" spans="1:27" ht="15" customHeight="1" x14ac:dyDescent="0.25">
      <c r="A7" s="477" t="s">
        <v>160</v>
      </c>
      <c r="B7" s="473">
        <f>CONSOLIDADO!E15</f>
        <v>2027</v>
      </c>
      <c r="C7" s="474"/>
      <c r="D7" s="473">
        <f>CONSOLIDADO!F15</f>
        <v>2028</v>
      </c>
      <c r="E7" s="474"/>
      <c r="F7" s="473">
        <f>CONSOLIDADO!G15</f>
        <v>2029</v>
      </c>
      <c r="G7" s="474"/>
      <c r="H7" s="473">
        <f>CONSOLIDADO!H15</f>
        <v>2030</v>
      </c>
      <c r="I7" s="474"/>
      <c r="J7" s="473">
        <f>CONSOLIDADO!I15</f>
        <v>2031</v>
      </c>
      <c r="K7" s="474"/>
      <c r="L7" s="473">
        <f>CONSOLIDADO!J15</f>
        <v>2032</v>
      </c>
      <c r="M7" s="474"/>
      <c r="N7" s="473">
        <f>CONSOLIDADO!K15</f>
        <v>2033</v>
      </c>
      <c r="O7" s="474"/>
      <c r="P7" s="475" t="s">
        <v>178</v>
      </c>
      <c r="Q7" s="471">
        <f>B7</f>
        <v>2027</v>
      </c>
      <c r="R7" s="471">
        <f>D7</f>
        <v>2028</v>
      </c>
      <c r="S7" s="471">
        <f>F7</f>
        <v>2029</v>
      </c>
      <c r="T7" s="471">
        <f>H7</f>
        <v>2030</v>
      </c>
      <c r="U7" s="471">
        <f>J7</f>
        <v>2031</v>
      </c>
      <c r="V7" s="471">
        <f>L7</f>
        <v>2032</v>
      </c>
      <c r="W7" s="471">
        <f>N7</f>
        <v>2033</v>
      </c>
      <c r="Y7" s="470" t="s">
        <v>425</v>
      </c>
      <c r="Z7" s="470" t="s">
        <v>426</v>
      </c>
    </row>
    <row r="8" spans="1:27" ht="25.5" customHeight="1" x14ac:dyDescent="0.25">
      <c r="A8" s="478"/>
      <c r="B8" s="37" t="s">
        <v>162</v>
      </c>
      <c r="C8" s="37" t="s">
        <v>163</v>
      </c>
      <c r="D8" s="37" t="s">
        <v>162</v>
      </c>
      <c r="E8" s="37" t="s">
        <v>163</v>
      </c>
      <c r="F8" s="37" t="s">
        <v>162</v>
      </c>
      <c r="G8" s="37" t="s">
        <v>163</v>
      </c>
      <c r="H8" s="37" t="s">
        <v>162</v>
      </c>
      <c r="I8" s="37" t="s">
        <v>163</v>
      </c>
      <c r="J8" s="37" t="s">
        <v>162</v>
      </c>
      <c r="K8" s="37" t="s">
        <v>163</v>
      </c>
      <c r="L8" s="37" t="s">
        <v>162</v>
      </c>
      <c r="M8" s="37" t="s">
        <v>163</v>
      </c>
      <c r="N8" s="37" t="s">
        <v>162</v>
      </c>
      <c r="O8" s="37" t="s">
        <v>163</v>
      </c>
      <c r="P8" s="476"/>
      <c r="Q8" s="472"/>
      <c r="R8" s="472"/>
      <c r="S8" s="472"/>
      <c r="T8" s="472"/>
      <c r="U8" s="472"/>
      <c r="V8" s="472"/>
      <c r="W8" s="472"/>
      <c r="Y8" s="470"/>
      <c r="Z8" s="470"/>
    </row>
    <row r="9" spans="1:27" ht="15.75" thickBot="1" x14ac:dyDescent="0.3">
      <c r="A9" s="249"/>
      <c r="B9" s="267"/>
      <c r="C9" s="250">
        <f>IF(J5=AA1,B9,0)</f>
        <v>0</v>
      </c>
      <c r="D9" s="250">
        <f>IF(J5=AA3,0,B9)</f>
        <v>0</v>
      </c>
      <c r="E9" s="250">
        <f t="shared" ref="E9:O9" si="1">C9</f>
        <v>0</v>
      </c>
      <c r="F9" s="250">
        <f t="shared" si="1"/>
        <v>0</v>
      </c>
      <c r="G9" s="250">
        <f t="shared" si="1"/>
        <v>0</v>
      </c>
      <c r="H9" s="250">
        <f t="shared" si="1"/>
        <v>0</v>
      </c>
      <c r="I9" s="250">
        <f t="shared" si="1"/>
        <v>0</v>
      </c>
      <c r="J9" s="250">
        <f t="shared" si="1"/>
        <v>0</v>
      </c>
      <c r="K9" s="250">
        <f t="shared" si="1"/>
        <v>0</v>
      </c>
      <c r="L9" s="250">
        <f t="shared" si="1"/>
        <v>0</v>
      </c>
      <c r="M9" s="250">
        <f t="shared" si="1"/>
        <v>0</v>
      </c>
      <c r="N9" s="250">
        <f t="shared" si="1"/>
        <v>0</v>
      </c>
      <c r="O9" s="250">
        <f t="shared" si="1"/>
        <v>0</v>
      </c>
      <c r="P9" s="273">
        <v>102511</v>
      </c>
      <c r="Q9" s="251">
        <f>(B9+C9)*Q$6</f>
        <v>0</v>
      </c>
      <c r="R9" s="251">
        <f>(D9+E9)*R$6</f>
        <v>0</v>
      </c>
      <c r="S9" s="251">
        <f>(F9+G9)*S$6</f>
        <v>0</v>
      </c>
      <c r="T9" s="251">
        <f>(H9+I9)*T$6</f>
        <v>0</v>
      </c>
      <c r="U9" s="251">
        <f>(J9+K9)*U$6</f>
        <v>0</v>
      </c>
      <c r="V9" s="251">
        <f>(L9+M9)*V$6</f>
        <v>0</v>
      </c>
      <c r="W9" s="251">
        <f>(N9+O9)*W$6</f>
        <v>0</v>
      </c>
      <c r="Y9" s="276"/>
      <c r="Z9" s="248" t="str">
        <f>IF(B9=0,"No aplica",B30/B9)</f>
        <v>No aplica</v>
      </c>
    </row>
    <row r="10" spans="1:27" ht="7.5" customHeight="1" thickTop="1" x14ac:dyDescent="0.25">
      <c r="A10" s="252"/>
      <c r="B10" s="252"/>
      <c r="C10" s="252"/>
      <c r="D10" s="252"/>
      <c r="E10" s="252"/>
      <c r="F10" s="252"/>
    </row>
    <row r="11" spans="1:27" ht="7.5" customHeight="1" thickBot="1" x14ac:dyDescent="0.3">
      <c r="A11" s="252"/>
      <c r="B11" s="252"/>
      <c r="C11" s="252"/>
      <c r="D11" s="252"/>
      <c r="E11" s="252"/>
      <c r="F11" s="252"/>
    </row>
    <row r="12" spans="1:27" ht="13.35" customHeight="1" thickTop="1" x14ac:dyDescent="0.25">
      <c r="A12" s="479" t="s">
        <v>192</v>
      </c>
      <c r="B12" s="480"/>
      <c r="C12" s="480"/>
      <c r="D12" s="480"/>
      <c r="E12" s="480"/>
      <c r="F12" s="481"/>
    </row>
    <row r="13" spans="1:27" ht="13.35" customHeight="1" x14ac:dyDescent="0.25">
      <c r="A13" s="482"/>
      <c r="B13" s="483"/>
      <c r="C13" s="483"/>
      <c r="D13" s="483"/>
      <c r="E13" s="483"/>
      <c r="F13" s="484"/>
    </row>
    <row r="14" spans="1:27" ht="13.35" customHeight="1" x14ac:dyDescent="0.25">
      <c r="A14" s="477" t="s">
        <v>160</v>
      </c>
      <c r="B14" s="473">
        <f>B$7</f>
        <v>2027</v>
      </c>
      <c r="C14" s="474"/>
      <c r="D14" s="473">
        <f>D$7</f>
        <v>2028</v>
      </c>
      <c r="E14" s="474"/>
      <c r="F14" s="473">
        <f>F$7</f>
        <v>2029</v>
      </c>
      <c r="G14" s="474"/>
      <c r="H14" s="473">
        <f>H$7</f>
        <v>2030</v>
      </c>
      <c r="I14" s="474"/>
      <c r="J14" s="473">
        <f>J$7</f>
        <v>2031</v>
      </c>
      <c r="K14" s="474"/>
      <c r="L14" s="473">
        <f>L$7</f>
        <v>2032</v>
      </c>
      <c r="M14" s="474"/>
      <c r="N14" s="473">
        <f>N$7</f>
        <v>2033</v>
      </c>
      <c r="O14" s="474"/>
      <c r="P14" s="475" t="s">
        <v>166</v>
      </c>
      <c r="Q14" s="471">
        <f>Q$7</f>
        <v>2027</v>
      </c>
      <c r="R14" s="471">
        <f t="shared" ref="R14:W14" si="2">R$7</f>
        <v>2028</v>
      </c>
      <c r="S14" s="471">
        <f t="shared" si="2"/>
        <v>2029</v>
      </c>
      <c r="T14" s="471">
        <f t="shared" si="2"/>
        <v>2030</v>
      </c>
      <c r="U14" s="471">
        <f t="shared" si="2"/>
        <v>2031</v>
      </c>
      <c r="V14" s="471">
        <f t="shared" si="2"/>
        <v>2032</v>
      </c>
      <c r="W14" s="471">
        <f t="shared" si="2"/>
        <v>2033</v>
      </c>
    </row>
    <row r="15" spans="1:27" ht="24" customHeight="1" x14ac:dyDescent="0.25">
      <c r="A15" s="478"/>
      <c r="B15" s="37" t="str">
        <f t="shared" ref="B15:O15" si="3">B$8</f>
        <v>PERIODO A</v>
      </c>
      <c r="C15" s="37" t="str">
        <f t="shared" si="3"/>
        <v>PERIODO B</v>
      </c>
      <c r="D15" s="37" t="str">
        <f t="shared" si="3"/>
        <v>PERIODO A</v>
      </c>
      <c r="E15" s="37" t="str">
        <f t="shared" si="3"/>
        <v>PERIODO B</v>
      </c>
      <c r="F15" s="37" t="str">
        <f t="shared" si="3"/>
        <v>PERIODO A</v>
      </c>
      <c r="G15" s="37" t="str">
        <f t="shared" si="3"/>
        <v>PERIODO B</v>
      </c>
      <c r="H15" s="37" t="str">
        <f t="shared" si="3"/>
        <v>PERIODO A</v>
      </c>
      <c r="I15" s="37" t="str">
        <f t="shared" si="3"/>
        <v>PERIODO B</v>
      </c>
      <c r="J15" s="37" t="str">
        <f t="shared" si="3"/>
        <v>PERIODO A</v>
      </c>
      <c r="K15" s="37" t="str">
        <f t="shared" si="3"/>
        <v>PERIODO B</v>
      </c>
      <c r="L15" s="37" t="str">
        <f t="shared" si="3"/>
        <v>PERIODO A</v>
      </c>
      <c r="M15" s="37" t="str">
        <f t="shared" si="3"/>
        <v>PERIODO B</v>
      </c>
      <c r="N15" s="37" t="str">
        <f t="shared" si="3"/>
        <v>PERIODO A</v>
      </c>
      <c r="O15" s="37" t="str">
        <f t="shared" si="3"/>
        <v>PERIODO B</v>
      </c>
      <c r="P15" s="476"/>
      <c r="Q15" s="472"/>
      <c r="R15" s="472"/>
      <c r="S15" s="472"/>
      <c r="T15" s="472"/>
      <c r="U15" s="472"/>
      <c r="V15" s="472"/>
      <c r="W15" s="472"/>
    </row>
    <row r="16" spans="1:27" ht="13.35" customHeight="1" x14ac:dyDescent="0.25">
      <c r="A16" s="156" t="s">
        <v>383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4"/>
      <c r="Q16" s="158">
        <f t="shared" ref="Q16:Q22" si="4">(B16+C16)*$P16</f>
        <v>0</v>
      </c>
      <c r="R16" s="158">
        <f t="shared" ref="R16:R22" si="5">(D16+E16)*$P16*(1+$R$2)</f>
        <v>0</v>
      </c>
      <c r="S16" s="158">
        <f t="shared" ref="S16:S22" si="6">(F16+G16)*$P16*(1+$R$2)^2</f>
        <v>0</v>
      </c>
      <c r="T16" s="158">
        <f t="shared" ref="T16:T22" si="7">(H16+I16)*$P16*(1+$R$2)^3</f>
        <v>0</v>
      </c>
      <c r="U16" s="158">
        <f t="shared" ref="U16:U22" si="8">(J16+K16)*$P16*(1+$R$2)^4</f>
        <v>0</v>
      </c>
      <c r="V16" s="158">
        <f>(L16+M16)*$P16*(1+$R$2)^5</f>
        <v>0</v>
      </c>
      <c r="W16" s="158">
        <f>(N16+O16)*$P16*(1+$R$2)^6</f>
        <v>0</v>
      </c>
    </row>
    <row r="17" spans="1:27" ht="13.35" customHeight="1" x14ac:dyDescent="0.25">
      <c r="A17" s="156" t="s">
        <v>384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4"/>
      <c r="Q17" s="158">
        <f t="shared" si="4"/>
        <v>0</v>
      </c>
      <c r="R17" s="158">
        <f t="shared" si="5"/>
        <v>0</v>
      </c>
      <c r="S17" s="158">
        <f t="shared" si="6"/>
        <v>0</v>
      </c>
      <c r="T17" s="158">
        <f t="shared" si="7"/>
        <v>0</v>
      </c>
      <c r="U17" s="158">
        <f t="shared" si="8"/>
        <v>0</v>
      </c>
      <c r="V17" s="158">
        <f>(L17+M17)*$P17*(1+$R$2)^5</f>
        <v>0</v>
      </c>
      <c r="W17" s="158">
        <f>(N17+O17)*$P17*(1+$R$2)^6</f>
        <v>0</v>
      </c>
    </row>
    <row r="18" spans="1:27" ht="13.35" customHeight="1" x14ac:dyDescent="0.25">
      <c r="A18" s="156" t="s">
        <v>385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4"/>
      <c r="Q18" s="158">
        <f t="shared" si="4"/>
        <v>0</v>
      </c>
      <c r="R18" s="158">
        <f t="shared" si="5"/>
        <v>0</v>
      </c>
      <c r="S18" s="158">
        <f t="shared" si="6"/>
        <v>0</v>
      </c>
      <c r="T18" s="158">
        <f t="shared" si="7"/>
        <v>0</v>
      </c>
      <c r="U18" s="158">
        <f t="shared" si="8"/>
        <v>0</v>
      </c>
      <c r="V18" s="158">
        <f>(L18+M18)*$P18*(1+$R$2)^5</f>
        <v>0</v>
      </c>
      <c r="W18" s="158">
        <f>(N18+O18)*$P18*(1+$R$2)^6</f>
        <v>0</v>
      </c>
    </row>
    <row r="19" spans="1:27" ht="26.25" customHeight="1" x14ac:dyDescent="0.25">
      <c r="A19" s="156" t="s">
        <v>386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4"/>
      <c r="Q19" s="158">
        <f t="shared" si="4"/>
        <v>0</v>
      </c>
      <c r="R19" s="158">
        <f t="shared" si="5"/>
        <v>0</v>
      </c>
      <c r="S19" s="158">
        <f t="shared" si="6"/>
        <v>0</v>
      </c>
      <c r="T19" s="158">
        <f t="shared" si="7"/>
        <v>0</v>
      </c>
      <c r="U19" s="158">
        <f t="shared" si="8"/>
        <v>0</v>
      </c>
      <c r="V19" s="158">
        <f>(L19+M19)*$P19*(1+$R$2)^5</f>
        <v>0</v>
      </c>
      <c r="W19" s="158">
        <f>(N19+O19)*$P19*(1+$R$2)^6</f>
        <v>0</v>
      </c>
    </row>
    <row r="20" spans="1:27" ht="13.35" customHeight="1" x14ac:dyDescent="0.25">
      <c r="A20" s="156" t="s">
        <v>387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4"/>
      <c r="Q20" s="158">
        <f t="shared" si="4"/>
        <v>0</v>
      </c>
      <c r="R20" s="158">
        <f t="shared" si="5"/>
        <v>0</v>
      </c>
      <c r="S20" s="158">
        <f t="shared" si="6"/>
        <v>0</v>
      </c>
      <c r="T20" s="158">
        <f t="shared" si="7"/>
        <v>0</v>
      </c>
      <c r="U20" s="158">
        <f t="shared" si="8"/>
        <v>0</v>
      </c>
      <c r="V20" s="158">
        <f>(L20+M20)*$P20*(1+$R$2)^5</f>
        <v>0</v>
      </c>
      <c r="W20" s="158">
        <f>(N20+O20)*$P20*(1+$R$2)^6</f>
        <v>0</v>
      </c>
    </row>
    <row r="21" spans="1:27" ht="13.35" customHeight="1" x14ac:dyDescent="0.25">
      <c r="A21" s="156" t="s">
        <v>388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66"/>
      <c r="Q21" s="158">
        <f t="shared" si="4"/>
        <v>0</v>
      </c>
      <c r="R21" s="158">
        <f t="shared" si="5"/>
        <v>0</v>
      </c>
      <c r="S21" s="158">
        <f t="shared" si="6"/>
        <v>0</v>
      </c>
      <c r="T21" s="158">
        <f t="shared" si="7"/>
        <v>0</v>
      </c>
      <c r="U21" s="158">
        <f t="shared" si="8"/>
        <v>0</v>
      </c>
      <c r="V21" s="158">
        <f>(K21+L21)*$P21*(1+$R$2)^4</f>
        <v>0</v>
      </c>
      <c r="W21" s="158">
        <f>(L21+M21)*$P21*(1+$R$2)^4</f>
        <v>0</v>
      </c>
    </row>
    <row r="22" spans="1:27" ht="13.35" customHeight="1" x14ac:dyDescent="0.25">
      <c r="A22" s="156" t="s">
        <v>389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66"/>
      <c r="Q22" s="158">
        <f t="shared" si="4"/>
        <v>0</v>
      </c>
      <c r="R22" s="158">
        <f t="shared" si="5"/>
        <v>0</v>
      </c>
      <c r="S22" s="158">
        <f t="shared" si="6"/>
        <v>0</v>
      </c>
      <c r="T22" s="158">
        <f t="shared" si="7"/>
        <v>0</v>
      </c>
      <c r="U22" s="158">
        <f t="shared" si="8"/>
        <v>0</v>
      </c>
      <c r="V22" s="158">
        <f>(K22+L22)*$P22*(1+$R$2)^4</f>
        <v>0</v>
      </c>
      <c r="W22" s="158">
        <f>(L22+M22)*$P22*(1+$R$2)^4</f>
        <v>0</v>
      </c>
    </row>
    <row r="23" spans="1:27" ht="7.5" customHeight="1" x14ac:dyDescent="0.25">
      <c r="A23" s="252"/>
      <c r="B23" s="252"/>
      <c r="C23" s="252"/>
      <c r="D23" s="252"/>
      <c r="E23" s="252"/>
      <c r="F23" s="256"/>
    </row>
    <row r="24" spans="1:27" ht="7.5" customHeight="1" thickBot="1" x14ac:dyDescent="0.3">
      <c r="A24" s="252"/>
      <c r="B24" s="252"/>
      <c r="C24" s="252"/>
      <c r="D24" s="252"/>
      <c r="E24" s="252"/>
      <c r="F24" s="256"/>
    </row>
    <row r="25" spans="1:27" ht="12" customHeight="1" thickTop="1" x14ac:dyDescent="0.25">
      <c r="A25" s="479" t="s">
        <v>165</v>
      </c>
      <c r="B25" s="480"/>
      <c r="C25" s="480"/>
      <c r="D25" s="480"/>
      <c r="E25" s="480"/>
      <c r="F25" s="481"/>
      <c r="I25" s="279" t="s">
        <v>401</v>
      </c>
      <c r="J25" s="280">
        <v>12</v>
      </c>
      <c r="S25" s="246"/>
    </row>
    <row r="26" spans="1:27" ht="12" customHeight="1" x14ac:dyDescent="0.25">
      <c r="A26" s="482"/>
      <c r="B26" s="483"/>
      <c r="C26" s="483"/>
      <c r="D26" s="483"/>
      <c r="E26" s="483"/>
      <c r="F26" s="484"/>
      <c r="S26" s="246"/>
    </row>
    <row r="27" spans="1:27" ht="18" customHeight="1" x14ac:dyDescent="0.25">
      <c r="A27" s="231"/>
      <c r="B27" s="495" t="s">
        <v>161</v>
      </c>
      <c r="C27" s="495"/>
      <c r="D27" s="495"/>
      <c r="E27" s="495"/>
      <c r="F27" s="495"/>
      <c r="G27" s="495"/>
      <c r="H27" s="495"/>
      <c r="I27" s="495"/>
      <c r="J27" s="495"/>
      <c r="K27" s="495"/>
      <c r="L27" s="232"/>
      <c r="M27" s="232"/>
      <c r="N27" s="232"/>
      <c r="O27" s="232"/>
      <c r="Q27" s="209">
        <f>P30</f>
        <v>0</v>
      </c>
      <c r="R27" s="209">
        <f t="shared" ref="R27:W27" si="9">+Q27*(1+$R$2)</f>
        <v>0</v>
      </c>
      <c r="S27" s="209">
        <f t="shared" si="9"/>
        <v>0</v>
      </c>
      <c r="T27" s="209">
        <f t="shared" si="9"/>
        <v>0</v>
      </c>
      <c r="U27" s="209">
        <f t="shared" si="9"/>
        <v>0</v>
      </c>
      <c r="V27" s="209">
        <f t="shared" si="9"/>
        <v>0</v>
      </c>
      <c r="W27" s="209">
        <f t="shared" si="9"/>
        <v>0</v>
      </c>
    </row>
    <row r="28" spans="1:27" ht="15" customHeight="1" x14ac:dyDescent="0.25">
      <c r="A28" s="477" t="s">
        <v>400</v>
      </c>
      <c r="B28" s="473">
        <f>B$7</f>
        <v>2027</v>
      </c>
      <c r="C28" s="474"/>
      <c r="D28" s="473">
        <f>D$7</f>
        <v>2028</v>
      </c>
      <c r="E28" s="474"/>
      <c r="F28" s="473">
        <f>F$7</f>
        <v>2029</v>
      </c>
      <c r="G28" s="474"/>
      <c r="H28" s="473">
        <f>H$7</f>
        <v>2030</v>
      </c>
      <c r="I28" s="474"/>
      <c r="J28" s="473">
        <f>J$7</f>
        <v>2031</v>
      </c>
      <c r="K28" s="474"/>
      <c r="L28" s="473">
        <f>L$7</f>
        <v>2032</v>
      </c>
      <c r="M28" s="474"/>
      <c r="N28" s="473">
        <f>N$7</f>
        <v>2033</v>
      </c>
      <c r="O28" s="474"/>
      <c r="P28" s="475" t="s">
        <v>166</v>
      </c>
      <c r="Q28" s="471">
        <f>Q$7</f>
        <v>2027</v>
      </c>
      <c r="R28" s="471">
        <f t="shared" ref="R28:W28" si="10">R$7</f>
        <v>2028</v>
      </c>
      <c r="S28" s="471">
        <f t="shared" si="10"/>
        <v>2029</v>
      </c>
      <c r="T28" s="471">
        <f t="shared" si="10"/>
        <v>2030</v>
      </c>
      <c r="U28" s="471">
        <f t="shared" si="10"/>
        <v>2031</v>
      </c>
      <c r="V28" s="471">
        <f t="shared" si="10"/>
        <v>2032</v>
      </c>
      <c r="W28" s="471">
        <f t="shared" si="10"/>
        <v>2033</v>
      </c>
      <c r="Y28" s="246"/>
    </row>
    <row r="29" spans="1:27" ht="27" customHeight="1" x14ac:dyDescent="0.25">
      <c r="A29" s="478"/>
      <c r="B29" s="37" t="str">
        <f t="shared" ref="B29:O29" si="11">B$8</f>
        <v>PERIODO A</v>
      </c>
      <c r="C29" s="37" t="str">
        <f t="shared" si="11"/>
        <v>PERIODO B</v>
      </c>
      <c r="D29" s="37" t="str">
        <f t="shared" si="11"/>
        <v>PERIODO A</v>
      </c>
      <c r="E29" s="37" t="str">
        <f t="shared" si="11"/>
        <v>PERIODO B</v>
      </c>
      <c r="F29" s="37" t="str">
        <f t="shared" si="11"/>
        <v>PERIODO A</v>
      </c>
      <c r="G29" s="37" t="str">
        <f t="shared" si="11"/>
        <v>PERIODO B</v>
      </c>
      <c r="H29" s="37" t="str">
        <f t="shared" si="11"/>
        <v>PERIODO A</v>
      </c>
      <c r="I29" s="37" t="str">
        <f t="shared" si="11"/>
        <v>PERIODO B</v>
      </c>
      <c r="J29" s="37" t="str">
        <f t="shared" si="11"/>
        <v>PERIODO A</v>
      </c>
      <c r="K29" s="37" t="str">
        <f t="shared" si="11"/>
        <v>PERIODO B</v>
      </c>
      <c r="L29" s="37" t="str">
        <f t="shared" si="11"/>
        <v>PERIODO A</v>
      </c>
      <c r="M29" s="37" t="str">
        <f t="shared" si="11"/>
        <v>PERIODO B</v>
      </c>
      <c r="N29" s="37" t="str">
        <f t="shared" si="11"/>
        <v>PERIODO A</v>
      </c>
      <c r="O29" s="37" t="str">
        <f t="shared" si="11"/>
        <v>PERIODO B</v>
      </c>
      <c r="P29" s="476"/>
      <c r="Q29" s="472"/>
      <c r="R29" s="472"/>
      <c r="S29" s="472"/>
      <c r="T29" s="472"/>
      <c r="U29" s="472"/>
      <c r="V29" s="472"/>
      <c r="W29" s="472"/>
      <c r="Y29" s="241" t="s">
        <v>316</v>
      </c>
      <c r="Z29" s="242" t="s">
        <v>427</v>
      </c>
      <c r="AA29" s="242" t="s">
        <v>380</v>
      </c>
    </row>
    <row r="30" spans="1:27" x14ac:dyDescent="0.25">
      <c r="A30" s="156" t="s">
        <v>167</v>
      </c>
      <c r="B30" s="257">
        <f>IF(B9&gt;Y9,B9-$Y9,0)</f>
        <v>0</v>
      </c>
      <c r="C30" s="253">
        <f>IF(C9&gt;0,C9-$Y9,0)</f>
        <v>0</v>
      </c>
      <c r="D30" s="253">
        <f t="shared" ref="D30:O30" si="12">IF(D9&gt;0,D9-$Y9,0)</f>
        <v>0</v>
      </c>
      <c r="E30" s="253">
        <f t="shared" si="12"/>
        <v>0</v>
      </c>
      <c r="F30" s="253">
        <f t="shared" si="12"/>
        <v>0</v>
      </c>
      <c r="G30" s="253">
        <f t="shared" si="12"/>
        <v>0</v>
      </c>
      <c r="H30" s="253">
        <f t="shared" si="12"/>
        <v>0</v>
      </c>
      <c r="I30" s="253">
        <f t="shared" si="12"/>
        <v>0</v>
      </c>
      <c r="J30" s="253">
        <f t="shared" si="12"/>
        <v>0</v>
      </c>
      <c r="K30" s="253">
        <f t="shared" si="12"/>
        <v>0</v>
      </c>
      <c r="L30" s="253">
        <f t="shared" si="12"/>
        <v>0</v>
      </c>
      <c r="M30" s="253">
        <f t="shared" si="12"/>
        <v>0</v>
      </c>
      <c r="N30" s="253">
        <f t="shared" si="12"/>
        <v>0</v>
      </c>
      <c r="O30" s="253">
        <f t="shared" si="12"/>
        <v>0</v>
      </c>
      <c r="P30" s="266"/>
      <c r="Q30" s="158">
        <f t="shared" ref="Q30:Q39" si="13">(B30+C30)*Q$27</f>
        <v>0</v>
      </c>
      <c r="R30" s="158">
        <f t="shared" ref="R30:R39" si="14">(D30+E30)*R$27</f>
        <v>0</v>
      </c>
      <c r="S30" s="158">
        <f t="shared" ref="S30:S39" si="15">(F30+G30)*S$27</f>
        <v>0</v>
      </c>
      <c r="T30" s="158">
        <f t="shared" ref="T30:T39" si="16">(H30+I30)*T$27</f>
        <v>0</v>
      </c>
      <c r="U30" s="158">
        <f t="shared" ref="U30:U39" si="17">(J30+K30)*U$27</f>
        <v>0</v>
      </c>
      <c r="V30" s="158">
        <f>(L30+M30)*V$27</f>
        <v>0</v>
      </c>
      <c r="W30" s="158">
        <f>(N30+O30)*W$27</f>
        <v>0</v>
      </c>
      <c r="X30" s="278">
        <v>1</v>
      </c>
      <c r="Y30" s="276"/>
      <c r="Z30" s="248"/>
      <c r="AA30" s="276"/>
    </row>
    <row r="31" spans="1:27" x14ac:dyDescent="0.25">
      <c r="A31" s="156" t="s">
        <v>168</v>
      </c>
      <c r="B31" s="253">
        <f t="shared" ref="B31:B39" si="18">IF($X31&gt;$J$25,0,IF(AA30=0,0,AA30-$Y30))</f>
        <v>0</v>
      </c>
      <c r="C31" s="257">
        <f>IF($X31&gt;$J$25,0,IF(B30=0,0,B30-$Y30))</f>
        <v>0</v>
      </c>
      <c r="D31" s="253">
        <f>IF($X31&gt;$J$25,0,IF(C30=0,0,C30-$Y30))</f>
        <v>0</v>
      </c>
      <c r="E31" s="253">
        <f t="shared" ref="E31:O33" si="19">IF($X31&gt;$J$25,0,IF(D30=0,0,D30-$Y30))</f>
        <v>0</v>
      </c>
      <c r="F31" s="253">
        <f t="shared" si="19"/>
        <v>0</v>
      </c>
      <c r="G31" s="253">
        <f t="shared" si="19"/>
        <v>0</v>
      </c>
      <c r="H31" s="253">
        <f t="shared" si="19"/>
        <v>0</v>
      </c>
      <c r="I31" s="253">
        <f t="shared" si="19"/>
        <v>0</v>
      </c>
      <c r="J31" s="253">
        <f t="shared" si="19"/>
        <v>0</v>
      </c>
      <c r="K31" s="253">
        <f t="shared" si="19"/>
        <v>0</v>
      </c>
      <c r="L31" s="253">
        <f t="shared" si="19"/>
        <v>0</v>
      </c>
      <c r="M31" s="253">
        <f t="shared" si="19"/>
        <v>0</v>
      </c>
      <c r="N31" s="253">
        <f t="shared" si="19"/>
        <v>0</v>
      </c>
      <c r="O31" s="253">
        <f t="shared" si="19"/>
        <v>0</v>
      </c>
      <c r="P31" s="254"/>
      <c r="Q31" s="158">
        <f t="shared" si="13"/>
        <v>0</v>
      </c>
      <c r="R31" s="158">
        <f t="shared" si="14"/>
        <v>0</v>
      </c>
      <c r="S31" s="158">
        <f t="shared" si="15"/>
        <v>0</v>
      </c>
      <c r="T31" s="158">
        <f t="shared" si="16"/>
        <v>0</v>
      </c>
      <c r="U31" s="158">
        <f t="shared" si="17"/>
        <v>0</v>
      </c>
      <c r="V31" s="158">
        <f t="shared" ref="V31:V39" si="20">(L31+M31)*V$27</f>
        <v>0</v>
      </c>
      <c r="W31" s="158">
        <f t="shared" ref="W31:W39" si="21">(N31+O31)*W$27</f>
        <v>0</v>
      </c>
      <c r="X31" s="278">
        <v>2</v>
      </c>
      <c r="Y31" s="276"/>
      <c r="Z31" s="248">
        <f>IF(X30&lt;$J$25,IF($B$30&gt;0,SUM($Y$30:Y30)/$B$30,0),0)</f>
        <v>0</v>
      </c>
      <c r="AA31" s="276"/>
    </row>
    <row r="32" spans="1:27" x14ac:dyDescent="0.25">
      <c r="A32" s="156" t="s">
        <v>169</v>
      </c>
      <c r="B32" s="253">
        <f t="shared" si="18"/>
        <v>0</v>
      </c>
      <c r="C32" s="253">
        <f t="shared" ref="C32:C39" si="22">IF($X32&gt;$J$25,0,IF($Y31&gt;B31,0,B31-$Y31))</f>
        <v>0</v>
      </c>
      <c r="D32" s="257">
        <f>IF($X32&gt;$J$25,0,IF(C31=0,0,C31-$Y31))</f>
        <v>0</v>
      </c>
      <c r="E32" s="253">
        <f t="shared" si="19"/>
        <v>0</v>
      </c>
      <c r="F32" s="253">
        <f t="shared" si="19"/>
        <v>0</v>
      </c>
      <c r="G32" s="253">
        <f t="shared" si="19"/>
        <v>0</v>
      </c>
      <c r="H32" s="253">
        <f t="shared" si="19"/>
        <v>0</v>
      </c>
      <c r="I32" s="253">
        <f t="shared" si="19"/>
        <v>0</v>
      </c>
      <c r="J32" s="253">
        <f t="shared" si="19"/>
        <v>0</v>
      </c>
      <c r="K32" s="253">
        <f t="shared" si="19"/>
        <v>0</v>
      </c>
      <c r="L32" s="253">
        <f t="shared" si="19"/>
        <v>0</v>
      </c>
      <c r="M32" s="253">
        <f t="shared" si="19"/>
        <v>0</v>
      </c>
      <c r="N32" s="253">
        <f t="shared" si="19"/>
        <v>0</v>
      </c>
      <c r="O32" s="253">
        <f t="shared" si="19"/>
        <v>0</v>
      </c>
      <c r="P32" s="254"/>
      <c r="Q32" s="158">
        <f t="shared" si="13"/>
        <v>0</v>
      </c>
      <c r="R32" s="158">
        <f t="shared" si="14"/>
        <v>0</v>
      </c>
      <c r="S32" s="158">
        <f t="shared" si="15"/>
        <v>0</v>
      </c>
      <c r="T32" s="158">
        <f t="shared" si="16"/>
        <v>0</v>
      </c>
      <c r="U32" s="158">
        <f t="shared" si="17"/>
        <v>0</v>
      </c>
      <c r="V32" s="158">
        <f t="shared" si="20"/>
        <v>0</v>
      </c>
      <c r="W32" s="158">
        <f t="shared" si="21"/>
        <v>0</v>
      </c>
      <c r="X32" s="278">
        <v>3</v>
      </c>
      <c r="Y32" s="276"/>
      <c r="Z32" s="248">
        <f>IF(X31&lt;$J$25,IF($B$30&gt;0,SUM($Y$30:Y31)/$B$30,0),0)</f>
        <v>0</v>
      </c>
      <c r="AA32" s="276"/>
    </row>
    <row r="33" spans="1:27" x14ac:dyDescent="0.25">
      <c r="A33" s="156" t="s">
        <v>170</v>
      </c>
      <c r="B33" s="253">
        <f t="shared" si="18"/>
        <v>0</v>
      </c>
      <c r="C33" s="253">
        <f t="shared" si="22"/>
        <v>0</v>
      </c>
      <c r="D33" s="253">
        <f t="shared" ref="D33:D39" si="23">IF($X33&gt;$J$25,0,IF($Y32&gt;C32,0,C32-$Y32))</f>
        <v>0</v>
      </c>
      <c r="E33" s="257">
        <f t="shared" si="19"/>
        <v>0</v>
      </c>
      <c r="F33" s="253">
        <f t="shared" ref="F33:F34" si="24">IF($X33&gt;$J$25,0,IF(E32=0,0,E32-$Y32))</f>
        <v>0</v>
      </c>
      <c r="G33" s="253">
        <f t="shared" ref="G33:G35" si="25">IF($X33&gt;$J$25,0,IF(F32=0,0,F32-$Y32))</f>
        <v>0</v>
      </c>
      <c r="H33" s="253">
        <f t="shared" ref="H33:H36" si="26">IF($X33&gt;$J$25,0,IF(G32=0,0,G32-$Y32))</f>
        <v>0</v>
      </c>
      <c r="I33" s="253">
        <f t="shared" ref="I33:I37" si="27">IF($X33&gt;$J$25,0,IF(H32=0,0,H32-$Y32))</f>
        <v>0</v>
      </c>
      <c r="J33" s="253">
        <f t="shared" ref="J33:J38" si="28">IF($X33&gt;$J$25,0,IF(I32=0,0,I32-$Y32))</f>
        <v>0</v>
      </c>
      <c r="K33" s="253">
        <f t="shared" ref="K33:K39" si="29">IF($X33&gt;$J$25,0,IF(J32=0,0,J32-$Y32))</f>
        <v>0</v>
      </c>
      <c r="L33" s="253">
        <f t="shared" ref="L33:L40" si="30">IF($X33&gt;$J$25,0,IF(K32=0,0,K32-$Y32))</f>
        <v>0</v>
      </c>
      <c r="M33" s="253">
        <f t="shared" ref="M33:M41" si="31">IF($X33&gt;$J$25,0,IF(L32=0,0,L32-$Y32))</f>
        <v>0</v>
      </c>
      <c r="N33" s="253">
        <f t="shared" ref="N33:N41" si="32">IF($X33&gt;$J$25,0,IF(M32=0,0,M32-$Y32))</f>
        <v>0</v>
      </c>
      <c r="O33" s="253">
        <f t="shared" ref="O33:O41" si="33">IF($X33&gt;$J$25,0,IF(N32=0,0,N32-$Y32))</f>
        <v>0</v>
      </c>
      <c r="P33" s="254"/>
      <c r="Q33" s="158">
        <f t="shared" si="13"/>
        <v>0</v>
      </c>
      <c r="R33" s="158">
        <f t="shared" si="14"/>
        <v>0</v>
      </c>
      <c r="S33" s="158">
        <f t="shared" si="15"/>
        <v>0</v>
      </c>
      <c r="T33" s="158">
        <f t="shared" si="16"/>
        <v>0</v>
      </c>
      <c r="U33" s="158">
        <f t="shared" si="17"/>
        <v>0</v>
      </c>
      <c r="V33" s="158">
        <f t="shared" si="20"/>
        <v>0</v>
      </c>
      <c r="W33" s="158">
        <f t="shared" si="21"/>
        <v>0</v>
      </c>
      <c r="X33" s="278">
        <v>4</v>
      </c>
      <c r="Y33" s="276"/>
      <c r="Z33" s="248">
        <f>IF(X32&lt;$J$25,IF($B$30&gt;0,SUM($Y$30:Y32)/$B$30,0),0)</f>
        <v>0</v>
      </c>
      <c r="AA33" s="276"/>
    </row>
    <row r="34" spans="1:27" x14ac:dyDescent="0.25">
      <c r="A34" s="156" t="s">
        <v>171</v>
      </c>
      <c r="B34" s="253">
        <f t="shared" si="18"/>
        <v>0</v>
      </c>
      <c r="C34" s="253">
        <f t="shared" si="22"/>
        <v>0</v>
      </c>
      <c r="D34" s="253">
        <f t="shared" si="23"/>
        <v>0</v>
      </c>
      <c r="E34" s="253">
        <f t="shared" ref="E34:E39" si="34">IF($X34&gt;$J$25,0,IF($Y33&gt;D33,0,D33-$Y33))</f>
        <v>0</v>
      </c>
      <c r="F34" s="257">
        <f t="shared" si="24"/>
        <v>0</v>
      </c>
      <c r="G34" s="253">
        <f t="shared" si="25"/>
        <v>0</v>
      </c>
      <c r="H34" s="253">
        <f t="shared" si="26"/>
        <v>0</v>
      </c>
      <c r="I34" s="253">
        <f t="shared" si="27"/>
        <v>0</v>
      </c>
      <c r="J34" s="253">
        <f t="shared" si="28"/>
        <v>0</v>
      </c>
      <c r="K34" s="253">
        <f t="shared" si="29"/>
        <v>0</v>
      </c>
      <c r="L34" s="253">
        <f t="shared" si="30"/>
        <v>0</v>
      </c>
      <c r="M34" s="253">
        <f t="shared" si="31"/>
        <v>0</v>
      </c>
      <c r="N34" s="253">
        <f t="shared" si="32"/>
        <v>0</v>
      </c>
      <c r="O34" s="253">
        <f t="shared" si="33"/>
        <v>0</v>
      </c>
      <c r="P34" s="254"/>
      <c r="Q34" s="158">
        <f t="shared" si="13"/>
        <v>0</v>
      </c>
      <c r="R34" s="158">
        <f t="shared" si="14"/>
        <v>0</v>
      </c>
      <c r="S34" s="158">
        <f t="shared" si="15"/>
        <v>0</v>
      </c>
      <c r="T34" s="158">
        <f t="shared" si="16"/>
        <v>0</v>
      </c>
      <c r="U34" s="158">
        <f t="shared" si="17"/>
        <v>0</v>
      </c>
      <c r="V34" s="158">
        <f t="shared" si="20"/>
        <v>0</v>
      </c>
      <c r="W34" s="158">
        <f t="shared" si="21"/>
        <v>0</v>
      </c>
      <c r="X34" s="278">
        <v>5</v>
      </c>
      <c r="Y34" s="276"/>
      <c r="Z34" s="248">
        <f>IF(X33&lt;$J$25,IF($B$30&gt;0,SUM($Y$30:Y33)/$B$30,0),0)</f>
        <v>0</v>
      </c>
      <c r="AA34" s="276"/>
    </row>
    <row r="35" spans="1:27" x14ac:dyDescent="0.25">
      <c r="A35" s="156" t="s">
        <v>172</v>
      </c>
      <c r="B35" s="253">
        <f t="shared" si="18"/>
        <v>0</v>
      </c>
      <c r="C35" s="253">
        <f t="shared" si="22"/>
        <v>0</v>
      </c>
      <c r="D35" s="253">
        <f t="shared" si="23"/>
        <v>0</v>
      </c>
      <c r="E35" s="253">
        <f t="shared" si="34"/>
        <v>0</v>
      </c>
      <c r="F35" s="253">
        <f>IF($X35&gt;$J$25,0,IF($Y34&gt;E34,0,E34-$Y34))</f>
        <v>0</v>
      </c>
      <c r="G35" s="257">
        <f t="shared" si="25"/>
        <v>0</v>
      </c>
      <c r="H35" s="253">
        <f t="shared" si="26"/>
        <v>0</v>
      </c>
      <c r="I35" s="253">
        <f t="shared" si="27"/>
        <v>0</v>
      </c>
      <c r="J35" s="253">
        <f t="shared" si="28"/>
        <v>0</v>
      </c>
      <c r="K35" s="253">
        <f t="shared" si="29"/>
        <v>0</v>
      </c>
      <c r="L35" s="253">
        <f t="shared" si="30"/>
        <v>0</v>
      </c>
      <c r="M35" s="253">
        <f t="shared" si="31"/>
        <v>0</v>
      </c>
      <c r="N35" s="253">
        <f t="shared" si="32"/>
        <v>0</v>
      </c>
      <c r="O35" s="253">
        <f t="shared" si="33"/>
        <v>0</v>
      </c>
      <c r="P35" s="254"/>
      <c r="Q35" s="158">
        <f t="shared" si="13"/>
        <v>0</v>
      </c>
      <c r="R35" s="158">
        <f t="shared" si="14"/>
        <v>0</v>
      </c>
      <c r="S35" s="158">
        <f t="shared" si="15"/>
        <v>0</v>
      </c>
      <c r="T35" s="158">
        <f t="shared" si="16"/>
        <v>0</v>
      </c>
      <c r="U35" s="158">
        <f t="shared" si="17"/>
        <v>0</v>
      </c>
      <c r="V35" s="158">
        <f t="shared" si="20"/>
        <v>0</v>
      </c>
      <c r="W35" s="158">
        <f t="shared" si="21"/>
        <v>0</v>
      </c>
      <c r="X35" s="278">
        <v>6</v>
      </c>
      <c r="Y35" s="276"/>
      <c r="Z35" s="248">
        <f>IF(X34&lt;$J$25,IF($B$30&gt;0,SUM($Y$30:Y34)/$B$30,0),0)</f>
        <v>0</v>
      </c>
      <c r="AA35" s="276"/>
    </row>
    <row r="36" spans="1:27" x14ac:dyDescent="0.25">
      <c r="A36" s="156" t="s">
        <v>173</v>
      </c>
      <c r="B36" s="253">
        <f t="shared" si="18"/>
        <v>0</v>
      </c>
      <c r="C36" s="253">
        <f t="shared" si="22"/>
        <v>0</v>
      </c>
      <c r="D36" s="253">
        <f t="shared" si="23"/>
        <v>0</v>
      </c>
      <c r="E36" s="253">
        <f t="shared" si="34"/>
        <v>0</v>
      </c>
      <c r="F36" s="253">
        <f>IF($X36&gt;$J$25,0,IF($Y35&gt;E35,0,E35-$Y35))</f>
        <v>0</v>
      </c>
      <c r="G36" s="253">
        <f>IF($X36&gt;$J$25,0,IF($Y35&gt;F35,0,F35-$Y35))</f>
        <v>0</v>
      </c>
      <c r="H36" s="257">
        <f t="shared" si="26"/>
        <v>0</v>
      </c>
      <c r="I36" s="253">
        <f t="shared" si="27"/>
        <v>0</v>
      </c>
      <c r="J36" s="253">
        <f t="shared" si="28"/>
        <v>0</v>
      </c>
      <c r="K36" s="253">
        <f t="shared" si="29"/>
        <v>0</v>
      </c>
      <c r="L36" s="253">
        <f t="shared" si="30"/>
        <v>0</v>
      </c>
      <c r="M36" s="253">
        <f t="shared" si="31"/>
        <v>0</v>
      </c>
      <c r="N36" s="253">
        <f t="shared" si="32"/>
        <v>0</v>
      </c>
      <c r="O36" s="253">
        <f t="shared" si="33"/>
        <v>0</v>
      </c>
      <c r="P36" s="254"/>
      <c r="Q36" s="158">
        <f t="shared" si="13"/>
        <v>0</v>
      </c>
      <c r="R36" s="158">
        <f t="shared" si="14"/>
        <v>0</v>
      </c>
      <c r="S36" s="158">
        <f t="shared" si="15"/>
        <v>0</v>
      </c>
      <c r="T36" s="158">
        <f t="shared" si="16"/>
        <v>0</v>
      </c>
      <c r="U36" s="158">
        <f t="shared" si="17"/>
        <v>0</v>
      </c>
      <c r="V36" s="158">
        <f t="shared" si="20"/>
        <v>0</v>
      </c>
      <c r="W36" s="158">
        <f t="shared" si="21"/>
        <v>0</v>
      </c>
      <c r="X36" s="278">
        <v>7</v>
      </c>
      <c r="Y36" s="276"/>
      <c r="Z36" s="248">
        <f>IF(X35&lt;$J$25,IF($B$30&gt;0,SUM($Y$30:Y35)/$B$30,0),0)</f>
        <v>0</v>
      </c>
      <c r="AA36" s="276"/>
    </row>
    <row r="37" spans="1:27" x14ac:dyDescent="0.25">
      <c r="A37" s="156" t="s">
        <v>174</v>
      </c>
      <c r="B37" s="253">
        <f t="shared" si="18"/>
        <v>0</v>
      </c>
      <c r="C37" s="253">
        <f t="shared" si="22"/>
        <v>0</v>
      </c>
      <c r="D37" s="253">
        <f t="shared" si="23"/>
        <v>0</v>
      </c>
      <c r="E37" s="253">
        <f t="shared" si="34"/>
        <v>0</v>
      </c>
      <c r="F37" s="253">
        <f>IF($X37&gt;$J$25,0,IF($Y36&gt;E36,0,E36-$Y36))</f>
        <v>0</v>
      </c>
      <c r="G37" s="253">
        <f>IF($X37&gt;$J$25,0,IF($Y36&gt;F36,0,F36-$Y36))</f>
        <v>0</v>
      </c>
      <c r="H37" s="253">
        <f>IF($X37&gt;$J$25,0,IF($Y36&gt;G36,0,G36-$Y36))</f>
        <v>0</v>
      </c>
      <c r="I37" s="257">
        <f t="shared" si="27"/>
        <v>0</v>
      </c>
      <c r="J37" s="253">
        <f t="shared" si="28"/>
        <v>0</v>
      </c>
      <c r="K37" s="253">
        <f t="shared" si="29"/>
        <v>0</v>
      </c>
      <c r="L37" s="253">
        <f t="shared" si="30"/>
        <v>0</v>
      </c>
      <c r="M37" s="253">
        <f t="shared" si="31"/>
        <v>0</v>
      </c>
      <c r="N37" s="253">
        <f t="shared" si="32"/>
        <v>0</v>
      </c>
      <c r="O37" s="253">
        <f t="shared" si="33"/>
        <v>0</v>
      </c>
      <c r="P37" s="254"/>
      <c r="Q37" s="158">
        <f t="shared" si="13"/>
        <v>0</v>
      </c>
      <c r="R37" s="158">
        <f t="shared" si="14"/>
        <v>0</v>
      </c>
      <c r="S37" s="158">
        <f t="shared" si="15"/>
        <v>0</v>
      </c>
      <c r="T37" s="158">
        <f t="shared" si="16"/>
        <v>0</v>
      </c>
      <c r="U37" s="158">
        <f t="shared" si="17"/>
        <v>0</v>
      </c>
      <c r="V37" s="158">
        <f t="shared" si="20"/>
        <v>0</v>
      </c>
      <c r="W37" s="158">
        <f t="shared" si="21"/>
        <v>0</v>
      </c>
      <c r="X37" s="278">
        <v>8</v>
      </c>
      <c r="Y37" s="276"/>
      <c r="Z37" s="248">
        <f>IF(X36&lt;$J$25,IF($B$30&gt;0,SUM($Y$30:Y36)/$B$30,0),0)</f>
        <v>0</v>
      </c>
      <c r="AA37" s="276"/>
    </row>
    <row r="38" spans="1:27" x14ac:dyDescent="0.25">
      <c r="A38" s="156" t="s">
        <v>175</v>
      </c>
      <c r="B38" s="253">
        <f t="shared" si="18"/>
        <v>0</v>
      </c>
      <c r="C38" s="253">
        <f t="shared" si="22"/>
        <v>0</v>
      </c>
      <c r="D38" s="253">
        <f t="shared" si="23"/>
        <v>0</v>
      </c>
      <c r="E38" s="253">
        <f t="shared" si="34"/>
        <v>0</v>
      </c>
      <c r="F38" s="253">
        <f>IF($X38&gt;$J$25,0,IF($Y37&gt;E37,0,E37-$Y37))</f>
        <v>0</v>
      </c>
      <c r="G38" s="253">
        <f>IF($X38&gt;$J$25,0,IF($Y37&gt;F37,0,F37-$Y37))</f>
        <v>0</v>
      </c>
      <c r="H38" s="253">
        <f>IF($X38&gt;$J$25,0,IF($Y37&gt;G37,0,G37-$Y37))</f>
        <v>0</v>
      </c>
      <c r="I38" s="253">
        <f>IF($X38&gt;$J$25,0,IF($Y37&gt;H37,0,H37-$Y37))</f>
        <v>0</v>
      </c>
      <c r="J38" s="257">
        <f t="shared" si="28"/>
        <v>0</v>
      </c>
      <c r="K38" s="253">
        <f t="shared" si="29"/>
        <v>0</v>
      </c>
      <c r="L38" s="253">
        <f t="shared" si="30"/>
        <v>0</v>
      </c>
      <c r="M38" s="253">
        <f t="shared" si="31"/>
        <v>0</v>
      </c>
      <c r="N38" s="253">
        <f t="shared" si="32"/>
        <v>0</v>
      </c>
      <c r="O38" s="253">
        <f t="shared" si="33"/>
        <v>0</v>
      </c>
      <c r="P38" s="254"/>
      <c r="Q38" s="158">
        <f t="shared" si="13"/>
        <v>0</v>
      </c>
      <c r="R38" s="158">
        <f t="shared" si="14"/>
        <v>0</v>
      </c>
      <c r="S38" s="158">
        <f t="shared" si="15"/>
        <v>0</v>
      </c>
      <c r="T38" s="158">
        <f t="shared" si="16"/>
        <v>0</v>
      </c>
      <c r="U38" s="158">
        <f t="shared" si="17"/>
        <v>0</v>
      </c>
      <c r="V38" s="158">
        <f t="shared" si="20"/>
        <v>0</v>
      </c>
      <c r="W38" s="158">
        <f t="shared" si="21"/>
        <v>0</v>
      </c>
      <c r="X38" s="278">
        <v>9</v>
      </c>
      <c r="Y38" s="276"/>
      <c r="Z38" s="248">
        <f>IF(X37&lt;$J$25,IF($B$30&gt;0,SUM($Y$30:Y37)/$B$30,0),0)</f>
        <v>0</v>
      </c>
      <c r="AA38" s="276"/>
    </row>
    <row r="39" spans="1:27" x14ac:dyDescent="0.25">
      <c r="A39" s="156" t="s">
        <v>176</v>
      </c>
      <c r="B39" s="253">
        <f t="shared" si="18"/>
        <v>0</v>
      </c>
      <c r="C39" s="253">
        <f t="shared" si="22"/>
        <v>0</v>
      </c>
      <c r="D39" s="253">
        <f t="shared" si="23"/>
        <v>0</v>
      </c>
      <c r="E39" s="253">
        <f t="shared" si="34"/>
        <v>0</v>
      </c>
      <c r="F39" s="253">
        <f>IF($X39&gt;$J$25,0,IF($Y38&gt;E38,0,E38-$Y38))</f>
        <v>0</v>
      </c>
      <c r="G39" s="253">
        <f>IF($X39&gt;$J$25,0,IF($Y38&gt;F38,0,F38-$Y38))</f>
        <v>0</v>
      </c>
      <c r="H39" s="253">
        <f>IF($X39&gt;$J$25,0,IF($Y38&gt;G38,0,G38-$Y38))</f>
        <v>0</v>
      </c>
      <c r="I39" s="253">
        <f>IF($X39&gt;$J$25,0,IF($Y38&gt;H38,0,H38-$Y38))</f>
        <v>0</v>
      </c>
      <c r="J39" s="253">
        <f>IF($X39&gt;$J$25,0,IF($Y38&gt;I38,0,I38-$Y38))</f>
        <v>0</v>
      </c>
      <c r="K39" s="257">
        <f t="shared" si="29"/>
        <v>0</v>
      </c>
      <c r="L39" s="253">
        <f t="shared" si="30"/>
        <v>0</v>
      </c>
      <c r="M39" s="253">
        <f t="shared" si="31"/>
        <v>0</v>
      </c>
      <c r="N39" s="253">
        <f t="shared" si="32"/>
        <v>0</v>
      </c>
      <c r="O39" s="253">
        <f t="shared" si="33"/>
        <v>0</v>
      </c>
      <c r="P39" s="254"/>
      <c r="Q39" s="158">
        <f t="shared" si="13"/>
        <v>0</v>
      </c>
      <c r="R39" s="158">
        <f t="shared" si="14"/>
        <v>0</v>
      </c>
      <c r="S39" s="158">
        <f t="shared" si="15"/>
        <v>0</v>
      </c>
      <c r="T39" s="158">
        <f t="shared" si="16"/>
        <v>0</v>
      </c>
      <c r="U39" s="158">
        <f t="shared" si="17"/>
        <v>0</v>
      </c>
      <c r="V39" s="158">
        <f t="shared" si="20"/>
        <v>0</v>
      </c>
      <c r="W39" s="158">
        <f t="shared" si="21"/>
        <v>0</v>
      </c>
      <c r="X39" s="278">
        <v>10</v>
      </c>
      <c r="Y39" s="276"/>
      <c r="Z39" s="248">
        <f>IF(X38&lt;$J$25,IF($B$30&gt;0,SUM($Y$30:Y38)/$B$30,0),0)</f>
        <v>0</v>
      </c>
      <c r="AA39" s="276"/>
    </row>
    <row r="40" spans="1:27" x14ac:dyDescent="0.25">
      <c r="A40" s="156" t="s">
        <v>396</v>
      </c>
      <c r="B40" s="253">
        <f t="shared" ref="B40:B41" si="35">IF($X40&gt;$J$25,0,IF(AA39=0,0,AA39-$Y39))</f>
        <v>0</v>
      </c>
      <c r="C40" s="253">
        <f t="shared" ref="C40:C41" si="36">IF($X40&gt;$J$25,0,IF($Y39&gt;B39,0,B39-$Y39))</f>
        <v>0</v>
      </c>
      <c r="D40" s="253">
        <f t="shared" ref="D40:D41" si="37">IF($X40&gt;$J$25,0,IF($Y39&gt;C39,0,C39-$Y39))</f>
        <v>0</v>
      </c>
      <c r="E40" s="253">
        <f t="shared" ref="E40:K41" si="38">IF($X40&gt;$J$25,0,IF($Y39&gt;D39,0,D39-$Y39))</f>
        <v>0</v>
      </c>
      <c r="F40" s="253">
        <f t="shared" si="38"/>
        <v>0</v>
      </c>
      <c r="G40" s="253">
        <f t="shared" si="38"/>
        <v>0</v>
      </c>
      <c r="H40" s="253">
        <f t="shared" si="38"/>
        <v>0</v>
      </c>
      <c r="I40" s="253">
        <f t="shared" si="38"/>
        <v>0</v>
      </c>
      <c r="J40" s="253">
        <f t="shared" si="38"/>
        <v>0</v>
      </c>
      <c r="K40" s="253">
        <f t="shared" si="38"/>
        <v>0</v>
      </c>
      <c r="L40" s="257">
        <f t="shared" si="30"/>
        <v>0</v>
      </c>
      <c r="M40" s="253">
        <f t="shared" si="31"/>
        <v>0</v>
      </c>
      <c r="N40" s="253">
        <f t="shared" si="32"/>
        <v>0</v>
      </c>
      <c r="O40" s="253">
        <f t="shared" si="33"/>
        <v>0</v>
      </c>
      <c r="P40" s="254"/>
      <c r="Q40" s="158">
        <f t="shared" ref="Q40:Q41" si="39">(B40+C40)*Q$27</f>
        <v>0</v>
      </c>
      <c r="R40" s="158">
        <f t="shared" ref="R40:R41" si="40">(D40+E40)*R$27</f>
        <v>0</v>
      </c>
      <c r="S40" s="158">
        <f t="shared" ref="S40:S41" si="41">(F40+G40)*S$27</f>
        <v>0</v>
      </c>
      <c r="T40" s="158">
        <f t="shared" ref="T40:T41" si="42">(H40+I40)*T$27</f>
        <v>0</v>
      </c>
      <c r="U40" s="158">
        <f t="shared" ref="U40:U41" si="43">(J40+K40)*U$27</f>
        <v>0</v>
      </c>
      <c r="V40" s="158">
        <f t="shared" ref="V40:V41" si="44">(L40+M40)*V$27</f>
        <v>0</v>
      </c>
      <c r="W40" s="158">
        <f t="shared" ref="W40:W41" si="45">(N40+O40)*W$27</f>
        <v>0</v>
      </c>
      <c r="X40" s="278">
        <v>11</v>
      </c>
      <c r="Y40" s="276"/>
      <c r="Z40" s="248">
        <f>IF(X39&lt;$J$25,IF($B$30&gt;0,SUM($Y$30:Y39)/$B$30,0),0)</f>
        <v>0</v>
      </c>
      <c r="AA40" s="276"/>
    </row>
    <row r="41" spans="1:27" x14ac:dyDescent="0.25">
      <c r="A41" s="156" t="s">
        <v>397</v>
      </c>
      <c r="B41" s="253">
        <f t="shared" si="35"/>
        <v>0</v>
      </c>
      <c r="C41" s="253">
        <f t="shared" si="36"/>
        <v>0</v>
      </c>
      <c r="D41" s="253">
        <f t="shared" si="37"/>
        <v>0</v>
      </c>
      <c r="E41" s="253">
        <f t="shared" si="38"/>
        <v>0</v>
      </c>
      <c r="F41" s="253">
        <f t="shared" ref="F41:J41" si="46">IF($X41&gt;$J$25,0,IF($Y40&gt;E40,0,E40-$Y40))</f>
        <v>0</v>
      </c>
      <c r="G41" s="253">
        <f t="shared" si="46"/>
        <v>0</v>
      </c>
      <c r="H41" s="253">
        <f t="shared" si="46"/>
        <v>0</v>
      </c>
      <c r="I41" s="253">
        <f t="shared" si="46"/>
        <v>0</v>
      </c>
      <c r="J41" s="253">
        <f t="shared" si="46"/>
        <v>0</v>
      </c>
      <c r="K41" s="253">
        <f t="shared" si="38"/>
        <v>0</v>
      </c>
      <c r="L41" s="253">
        <f t="shared" ref="L41" si="47">IF($X41&gt;$J$25,0,IF($Y40&gt;K40,0,K40-$Y40))</f>
        <v>0</v>
      </c>
      <c r="M41" s="257">
        <f t="shared" si="31"/>
        <v>0</v>
      </c>
      <c r="N41" s="253">
        <f t="shared" si="32"/>
        <v>0</v>
      </c>
      <c r="O41" s="253">
        <f t="shared" si="33"/>
        <v>0</v>
      </c>
      <c r="P41" s="254"/>
      <c r="Q41" s="158">
        <f t="shared" si="39"/>
        <v>0</v>
      </c>
      <c r="R41" s="158">
        <f t="shared" si="40"/>
        <v>0</v>
      </c>
      <c r="S41" s="158">
        <f t="shared" si="41"/>
        <v>0</v>
      </c>
      <c r="T41" s="158">
        <f t="shared" si="42"/>
        <v>0</v>
      </c>
      <c r="U41" s="158">
        <f t="shared" si="43"/>
        <v>0</v>
      </c>
      <c r="V41" s="158">
        <f t="shared" si="44"/>
        <v>0</v>
      </c>
      <c r="W41" s="158">
        <f t="shared" si="45"/>
        <v>0</v>
      </c>
      <c r="X41" s="278">
        <v>12</v>
      </c>
      <c r="Y41" s="246"/>
      <c r="Z41" s="248">
        <f>IF(X40&lt;$J$25,IF($B$30&gt;0,SUM($Y$30:Y40)/$B$30,0),0)</f>
        <v>0</v>
      </c>
      <c r="AA41" s="276"/>
    </row>
    <row r="42" spans="1:27" ht="15.75" thickBot="1" x14ac:dyDescent="0.3">
      <c r="A42" s="255" t="s">
        <v>164</v>
      </c>
      <c r="B42" s="258">
        <f>SUM(B30:B41)</f>
        <v>0</v>
      </c>
      <c r="C42" s="258">
        <f t="shared" ref="C42:O42" si="48">SUM(C30:C41)</f>
        <v>0</v>
      </c>
      <c r="D42" s="258">
        <f t="shared" si="48"/>
        <v>0</v>
      </c>
      <c r="E42" s="258">
        <f t="shared" si="48"/>
        <v>0</v>
      </c>
      <c r="F42" s="258">
        <f t="shared" si="48"/>
        <v>0</v>
      </c>
      <c r="G42" s="258">
        <f t="shared" si="48"/>
        <v>0</v>
      </c>
      <c r="H42" s="258">
        <f t="shared" si="48"/>
        <v>0</v>
      </c>
      <c r="I42" s="258">
        <f t="shared" si="48"/>
        <v>0</v>
      </c>
      <c r="J42" s="258">
        <f t="shared" si="48"/>
        <v>0</v>
      </c>
      <c r="K42" s="258">
        <f t="shared" si="48"/>
        <v>0</v>
      </c>
      <c r="L42" s="258">
        <f t="shared" si="48"/>
        <v>0</v>
      </c>
      <c r="M42" s="258">
        <f t="shared" si="48"/>
        <v>0</v>
      </c>
      <c r="N42" s="258">
        <f t="shared" si="48"/>
        <v>0</v>
      </c>
      <c r="O42" s="258">
        <f t="shared" si="48"/>
        <v>0</v>
      </c>
      <c r="P42" s="259"/>
      <c r="Q42" s="260">
        <f>SUM(Q30:Q41)</f>
        <v>0</v>
      </c>
      <c r="R42" s="260">
        <f t="shared" ref="R42:W42" si="49">SUM(R30:R41)</f>
        <v>0</v>
      </c>
      <c r="S42" s="260">
        <f t="shared" si="49"/>
        <v>0</v>
      </c>
      <c r="T42" s="260">
        <f t="shared" si="49"/>
        <v>0</v>
      </c>
      <c r="U42" s="260">
        <f t="shared" si="49"/>
        <v>0</v>
      </c>
      <c r="V42" s="260">
        <f t="shared" si="49"/>
        <v>0</v>
      </c>
      <c r="W42" s="260">
        <f t="shared" si="49"/>
        <v>0</v>
      </c>
      <c r="X42" s="261"/>
      <c r="Y42" s="246"/>
    </row>
    <row r="43" spans="1:27" ht="5.25" customHeight="1" thickTop="1" x14ac:dyDescent="0.25">
      <c r="A43" s="252"/>
      <c r="B43" s="252"/>
      <c r="C43" s="252"/>
      <c r="D43" s="252"/>
      <c r="E43" s="252"/>
      <c r="F43" s="252"/>
    </row>
    <row r="44" spans="1:27" ht="7.5" customHeight="1" thickBot="1" x14ac:dyDescent="0.3">
      <c r="A44" s="252"/>
      <c r="B44" s="252"/>
      <c r="C44" s="252"/>
      <c r="D44" s="252"/>
      <c r="E44" s="252"/>
      <c r="F44" s="252"/>
    </row>
    <row r="45" spans="1:27" ht="12" customHeight="1" thickTop="1" x14ac:dyDescent="0.25">
      <c r="A45" s="479" t="s">
        <v>177</v>
      </c>
      <c r="B45" s="480"/>
      <c r="C45" s="480"/>
      <c r="D45" s="480"/>
      <c r="E45" s="480"/>
      <c r="F45" s="481"/>
      <c r="Y45" s="245" t="s">
        <v>333</v>
      </c>
    </row>
    <row r="46" spans="1:27" ht="12" customHeight="1" x14ac:dyDescent="0.25">
      <c r="A46" s="482"/>
      <c r="B46" s="483"/>
      <c r="C46" s="483"/>
      <c r="D46" s="483"/>
      <c r="E46" s="483"/>
      <c r="F46" s="484"/>
      <c r="Q46" s="209">
        <f>P49</f>
        <v>1075971</v>
      </c>
      <c r="R46" s="209">
        <f>+Q46*(1+$R$2)</f>
        <v>1129769.55</v>
      </c>
      <c r="S46" s="209">
        <f t="shared" ref="S46:W46" si="50">+R46*(1+$R$2)</f>
        <v>1186258.0275000001</v>
      </c>
      <c r="T46" s="209">
        <f t="shared" si="50"/>
        <v>1245570.9288750002</v>
      </c>
      <c r="U46" s="209">
        <f t="shared" si="50"/>
        <v>1307849.4753187504</v>
      </c>
      <c r="V46" s="209">
        <f t="shared" si="50"/>
        <v>1373241.949084688</v>
      </c>
      <c r="W46" s="209">
        <f t="shared" si="50"/>
        <v>1441904.0465389225</v>
      </c>
    </row>
    <row r="47" spans="1:27" ht="15" customHeight="1" x14ac:dyDescent="0.25">
      <c r="A47" s="477" t="s">
        <v>160</v>
      </c>
      <c r="B47" s="473">
        <f>B$7</f>
        <v>2027</v>
      </c>
      <c r="C47" s="474"/>
      <c r="D47" s="473">
        <f>D$7</f>
        <v>2028</v>
      </c>
      <c r="E47" s="474"/>
      <c r="F47" s="473">
        <f>F$7</f>
        <v>2029</v>
      </c>
      <c r="G47" s="474"/>
      <c r="H47" s="473">
        <f>H$7</f>
        <v>2030</v>
      </c>
      <c r="I47" s="474"/>
      <c r="J47" s="473">
        <f>J$7</f>
        <v>2031</v>
      </c>
      <c r="K47" s="474"/>
      <c r="L47" s="473">
        <f>L$7</f>
        <v>2032</v>
      </c>
      <c r="M47" s="474"/>
      <c r="N47" s="473">
        <f>N$7</f>
        <v>2033</v>
      </c>
      <c r="O47" s="474"/>
      <c r="P47" s="475" t="s">
        <v>178</v>
      </c>
      <c r="Q47" s="471">
        <f>Q$7</f>
        <v>2027</v>
      </c>
      <c r="R47" s="471">
        <f t="shared" ref="R47:W47" si="51">R$7</f>
        <v>2028</v>
      </c>
      <c r="S47" s="471">
        <f t="shared" si="51"/>
        <v>2029</v>
      </c>
      <c r="T47" s="471">
        <f t="shared" si="51"/>
        <v>2030</v>
      </c>
      <c r="U47" s="471">
        <f t="shared" si="51"/>
        <v>2031</v>
      </c>
      <c r="V47" s="471">
        <f t="shared" si="51"/>
        <v>2032</v>
      </c>
      <c r="W47" s="471">
        <f t="shared" si="51"/>
        <v>2033</v>
      </c>
      <c r="Y47" s="246"/>
    </row>
    <row r="48" spans="1:27" ht="27" customHeight="1" x14ac:dyDescent="0.25">
      <c r="A48" s="478"/>
      <c r="B48" s="37" t="str">
        <f t="shared" ref="B48:O48" si="52">B$8</f>
        <v>PERIODO A</v>
      </c>
      <c r="C48" s="37" t="str">
        <f t="shared" si="52"/>
        <v>PERIODO B</v>
      </c>
      <c r="D48" s="37" t="str">
        <f t="shared" si="52"/>
        <v>PERIODO A</v>
      </c>
      <c r="E48" s="37" t="str">
        <f t="shared" si="52"/>
        <v>PERIODO B</v>
      </c>
      <c r="F48" s="37" t="str">
        <f t="shared" si="52"/>
        <v>PERIODO A</v>
      </c>
      <c r="G48" s="37" t="str">
        <f t="shared" si="52"/>
        <v>PERIODO B</v>
      </c>
      <c r="H48" s="37" t="str">
        <f t="shared" si="52"/>
        <v>PERIODO A</v>
      </c>
      <c r="I48" s="37" t="str">
        <f t="shared" si="52"/>
        <v>PERIODO B</v>
      </c>
      <c r="J48" s="37" t="str">
        <f t="shared" si="52"/>
        <v>PERIODO A</v>
      </c>
      <c r="K48" s="37" t="str">
        <f t="shared" si="52"/>
        <v>PERIODO B</v>
      </c>
      <c r="L48" s="37" t="str">
        <f t="shared" si="52"/>
        <v>PERIODO A</v>
      </c>
      <c r="M48" s="37" t="str">
        <f t="shared" si="52"/>
        <v>PERIODO B</v>
      </c>
      <c r="N48" s="37" t="str">
        <f t="shared" si="52"/>
        <v>PERIODO A</v>
      </c>
      <c r="O48" s="37" t="str">
        <f t="shared" si="52"/>
        <v>PERIODO B</v>
      </c>
      <c r="P48" s="476"/>
      <c r="Q48" s="472"/>
      <c r="R48" s="472"/>
      <c r="S48" s="472"/>
      <c r="T48" s="472"/>
      <c r="U48" s="472"/>
      <c r="V48" s="472"/>
      <c r="W48" s="472"/>
      <c r="Y48" s="246"/>
    </row>
    <row r="49" spans="1:26" ht="15.75" thickBot="1" x14ac:dyDescent="0.3">
      <c r="A49" s="249" t="s">
        <v>179</v>
      </c>
      <c r="B49" s="262">
        <f>IF(LOOKUP($J$25,$X$30:$X$41,$AA$30:$AA$41)=0,0,LOOKUP($J$25,$X$30:$X$41,$AA$30:$AA$41)-$Y$49)</f>
        <v>0</v>
      </c>
      <c r="C49" s="262">
        <f>IF(LOOKUP($J$25,$X$30:$X$41,B30:B41)=0,0,LOOKUP($J$25,$X$30:$X$41,B30:B41)-$Y$49)</f>
        <v>0</v>
      </c>
      <c r="D49" s="262">
        <f t="shared" ref="D49:O49" si="53">IF(LOOKUP($J$25,$X$30:$X$41,C30:C41)=0,0,LOOKUP($J$25,$X$30:$X$41,C30:C41)-$Y$49)</f>
        <v>0</v>
      </c>
      <c r="E49" s="262">
        <f t="shared" si="53"/>
        <v>0</v>
      </c>
      <c r="F49" s="262">
        <f t="shared" si="53"/>
        <v>0</v>
      </c>
      <c r="G49" s="262">
        <f t="shared" si="53"/>
        <v>0</v>
      </c>
      <c r="H49" s="262">
        <f t="shared" si="53"/>
        <v>0</v>
      </c>
      <c r="I49" s="262">
        <f t="shared" si="53"/>
        <v>0</v>
      </c>
      <c r="J49" s="262">
        <f t="shared" si="53"/>
        <v>0</v>
      </c>
      <c r="K49" s="262">
        <f t="shared" si="53"/>
        <v>0</v>
      </c>
      <c r="L49" s="262">
        <f t="shared" si="53"/>
        <v>0</v>
      </c>
      <c r="M49" s="262">
        <f t="shared" si="53"/>
        <v>0</v>
      </c>
      <c r="N49" s="262">
        <f t="shared" si="53"/>
        <v>0</v>
      </c>
      <c r="O49" s="262">
        <f t="shared" si="53"/>
        <v>0</v>
      </c>
      <c r="P49" s="273">
        <v>1075971</v>
      </c>
      <c r="Q49" s="251">
        <f>(B49+C49)*Q$46</f>
        <v>0</v>
      </c>
      <c r="R49" s="251">
        <f>(D49+E49)*R$46</f>
        <v>0</v>
      </c>
      <c r="S49" s="251">
        <f>(F49+G49)*S$46</f>
        <v>0</v>
      </c>
      <c r="T49" s="251">
        <f>(H49+I49)*T$46</f>
        <v>0</v>
      </c>
      <c r="U49" s="251">
        <f>(J49+K49)*U$46</f>
        <v>0</v>
      </c>
      <c r="V49" s="251">
        <f>(L49+M49)*V$46</f>
        <v>0</v>
      </c>
      <c r="W49" s="251">
        <f>(N49+O49)*W$46</f>
        <v>0</v>
      </c>
      <c r="Y49" s="276"/>
      <c r="Z49" s="248">
        <f>IF($B$30&gt;0,(SUM($Y$30:Y42)+Y49)/$B$30,0)</f>
        <v>0</v>
      </c>
    </row>
    <row r="50" spans="1:26" ht="7.5" customHeight="1" thickTop="1" x14ac:dyDescent="0.25">
      <c r="A50" s="252"/>
      <c r="B50" s="252"/>
      <c r="C50" s="252"/>
      <c r="D50" s="252"/>
      <c r="E50" s="252"/>
      <c r="F50" s="252"/>
    </row>
    <row r="51" spans="1:26" ht="7.5" customHeight="1" thickBot="1" x14ac:dyDescent="0.3">
      <c r="A51" s="252"/>
      <c r="B51" s="252"/>
      <c r="C51" s="252"/>
      <c r="D51" s="252"/>
      <c r="E51" s="252"/>
      <c r="F51" s="252"/>
    </row>
    <row r="52" spans="1:26" ht="11.25" customHeight="1" thickTop="1" x14ac:dyDescent="0.25">
      <c r="A52" s="479" t="s">
        <v>191</v>
      </c>
      <c r="B52" s="480"/>
      <c r="C52" s="480"/>
      <c r="D52" s="480"/>
      <c r="E52" s="480"/>
      <c r="F52" s="481"/>
    </row>
    <row r="53" spans="1:26" ht="11.25" customHeight="1" x14ac:dyDescent="0.25">
      <c r="A53" s="482"/>
      <c r="B53" s="483"/>
      <c r="C53" s="483"/>
      <c r="D53" s="483"/>
      <c r="E53" s="483"/>
      <c r="F53" s="484"/>
    </row>
    <row r="54" spans="1:26" ht="15" customHeight="1" x14ac:dyDescent="0.25">
      <c r="A54" s="477" t="s">
        <v>8</v>
      </c>
      <c r="B54" s="473">
        <f>B$7</f>
        <v>2027</v>
      </c>
      <c r="C54" s="474"/>
      <c r="D54" s="473">
        <f>D$7</f>
        <v>2028</v>
      </c>
      <c r="E54" s="474"/>
      <c r="F54" s="473">
        <f>F$7</f>
        <v>2029</v>
      </c>
      <c r="G54" s="474"/>
      <c r="H54" s="473">
        <f>H$7</f>
        <v>2030</v>
      </c>
      <c r="I54" s="474"/>
      <c r="J54" s="473">
        <f>J$7</f>
        <v>2031</v>
      </c>
      <c r="K54" s="474"/>
      <c r="L54" s="473">
        <f>L$7</f>
        <v>2032</v>
      </c>
      <c r="M54" s="474"/>
      <c r="N54" s="473">
        <f>N$7</f>
        <v>2033</v>
      </c>
      <c r="O54" s="474"/>
      <c r="P54" s="475" t="s">
        <v>178</v>
      </c>
      <c r="Q54" s="471">
        <f>Q$7</f>
        <v>2027</v>
      </c>
      <c r="R54" s="471">
        <f t="shared" ref="R54:W54" si="54">R$7</f>
        <v>2028</v>
      </c>
      <c r="S54" s="471">
        <f t="shared" si="54"/>
        <v>2029</v>
      </c>
      <c r="T54" s="471">
        <f t="shared" si="54"/>
        <v>2030</v>
      </c>
      <c r="U54" s="471">
        <f t="shared" si="54"/>
        <v>2031</v>
      </c>
      <c r="V54" s="471">
        <f t="shared" si="54"/>
        <v>2032</v>
      </c>
      <c r="W54" s="471">
        <f t="shared" si="54"/>
        <v>2033</v>
      </c>
      <c r="Y54" s="470" t="s">
        <v>314</v>
      </c>
    </row>
    <row r="55" spans="1:26" ht="29.25" customHeight="1" x14ac:dyDescent="0.25">
      <c r="A55" s="478"/>
      <c r="B55" s="37" t="str">
        <f t="shared" ref="B55:O55" si="55">B$8</f>
        <v>PERIODO A</v>
      </c>
      <c r="C55" s="37" t="str">
        <f t="shared" si="55"/>
        <v>PERIODO B</v>
      </c>
      <c r="D55" s="37" t="str">
        <f t="shared" si="55"/>
        <v>PERIODO A</v>
      </c>
      <c r="E55" s="37" t="str">
        <f t="shared" si="55"/>
        <v>PERIODO B</v>
      </c>
      <c r="F55" s="37" t="str">
        <f t="shared" si="55"/>
        <v>PERIODO A</v>
      </c>
      <c r="G55" s="37" t="str">
        <f t="shared" si="55"/>
        <v>PERIODO B</v>
      </c>
      <c r="H55" s="37" t="str">
        <f t="shared" si="55"/>
        <v>PERIODO A</v>
      </c>
      <c r="I55" s="37" t="str">
        <f t="shared" si="55"/>
        <v>PERIODO B</v>
      </c>
      <c r="J55" s="37" t="str">
        <f t="shared" si="55"/>
        <v>PERIODO A</v>
      </c>
      <c r="K55" s="37" t="str">
        <f t="shared" si="55"/>
        <v>PERIODO B</v>
      </c>
      <c r="L55" s="37" t="str">
        <f t="shared" si="55"/>
        <v>PERIODO A</v>
      </c>
      <c r="M55" s="37" t="str">
        <f t="shared" si="55"/>
        <v>PERIODO B</v>
      </c>
      <c r="N55" s="37" t="str">
        <f t="shared" si="55"/>
        <v>PERIODO A</v>
      </c>
      <c r="O55" s="37" t="str">
        <f t="shared" si="55"/>
        <v>PERIODO B</v>
      </c>
      <c r="P55" s="476"/>
      <c r="Q55" s="472"/>
      <c r="R55" s="472"/>
      <c r="S55" s="472"/>
      <c r="T55" s="472"/>
      <c r="U55" s="472"/>
      <c r="V55" s="472"/>
      <c r="W55" s="472"/>
      <c r="Y55" s="470"/>
    </row>
    <row r="56" spans="1:26" x14ac:dyDescent="0.25">
      <c r="A56" s="156" t="s">
        <v>180</v>
      </c>
      <c r="B56" s="157">
        <f>IF($Y56=0,0,ROUNDUP(B$42/$Y56,0))</f>
        <v>0</v>
      </c>
      <c r="C56" s="157">
        <f t="shared" ref="C56:O56" si="56">IF($Y56=0,0,ROUNDUP(C$42/$Y56,0))</f>
        <v>0</v>
      </c>
      <c r="D56" s="157">
        <f t="shared" si="56"/>
        <v>0</v>
      </c>
      <c r="E56" s="157">
        <f t="shared" si="56"/>
        <v>0</v>
      </c>
      <c r="F56" s="157">
        <f t="shared" si="56"/>
        <v>0</v>
      </c>
      <c r="G56" s="157">
        <f t="shared" si="56"/>
        <v>0</v>
      </c>
      <c r="H56" s="157">
        <f t="shared" si="56"/>
        <v>0</v>
      </c>
      <c r="I56" s="157">
        <f t="shared" si="56"/>
        <v>0</v>
      </c>
      <c r="J56" s="157">
        <f t="shared" si="56"/>
        <v>0</v>
      </c>
      <c r="K56" s="157">
        <f t="shared" si="56"/>
        <v>0</v>
      </c>
      <c r="L56" s="157">
        <f t="shared" si="56"/>
        <v>0</v>
      </c>
      <c r="M56" s="157">
        <f t="shared" si="56"/>
        <v>0</v>
      </c>
      <c r="N56" s="157">
        <f t="shared" si="56"/>
        <v>0</v>
      </c>
      <c r="O56" s="157">
        <f t="shared" si="56"/>
        <v>0</v>
      </c>
      <c r="P56" s="266">
        <v>18509</v>
      </c>
      <c r="Q56" s="158">
        <f t="shared" ref="Q56:Q62" si="57">(B56+C56)*$P56</f>
        <v>0</v>
      </c>
      <c r="R56" s="158">
        <f t="shared" ref="R56:R62" si="58">(D56+E56)*$P56*(1+$R$2)</f>
        <v>0</v>
      </c>
      <c r="S56" s="158">
        <f t="shared" ref="S56:S62" si="59">(F56+G56)*$P56*(1+$R$2)^2</f>
        <v>0</v>
      </c>
      <c r="T56" s="158">
        <f t="shared" ref="T56:T62" si="60">(H56+I56)*$P56*(1+$R$2)^3</f>
        <v>0</v>
      </c>
      <c r="U56" s="158">
        <f t="shared" ref="U56:U62" si="61">(J56+K56)*$P56*(1+$R$2)^4</f>
        <v>0</v>
      </c>
      <c r="V56" s="158">
        <f>(L56+M56)*$P56*(1+$R$2)^5</f>
        <v>0</v>
      </c>
      <c r="W56" s="158">
        <f>(N56+O56)*$P56*(1+$R$2)^6</f>
        <v>0</v>
      </c>
      <c r="Y56" s="277">
        <v>30</v>
      </c>
    </row>
    <row r="57" spans="1:26" x14ac:dyDescent="0.25">
      <c r="A57" s="156" t="s">
        <v>181</v>
      </c>
      <c r="B57" s="157">
        <f t="shared" ref="B57:O62" si="62">IF($Y57=0,0,ROUNDUP(B$42/$Y57,0))</f>
        <v>0</v>
      </c>
      <c r="C57" s="157">
        <f t="shared" si="62"/>
        <v>0</v>
      </c>
      <c r="D57" s="157">
        <f t="shared" si="62"/>
        <v>0</v>
      </c>
      <c r="E57" s="157">
        <f t="shared" si="62"/>
        <v>0</v>
      </c>
      <c r="F57" s="157">
        <f t="shared" si="62"/>
        <v>0</v>
      </c>
      <c r="G57" s="157">
        <f t="shared" si="62"/>
        <v>0</v>
      </c>
      <c r="H57" s="157">
        <f t="shared" si="62"/>
        <v>0</v>
      </c>
      <c r="I57" s="157">
        <f t="shared" si="62"/>
        <v>0</v>
      </c>
      <c r="J57" s="157">
        <f t="shared" si="62"/>
        <v>0</v>
      </c>
      <c r="K57" s="157">
        <f t="shared" si="62"/>
        <v>0</v>
      </c>
      <c r="L57" s="157">
        <f t="shared" si="62"/>
        <v>0</v>
      </c>
      <c r="M57" s="157">
        <f t="shared" si="62"/>
        <v>0</v>
      </c>
      <c r="N57" s="157">
        <f t="shared" si="62"/>
        <v>0</v>
      </c>
      <c r="O57" s="157">
        <f t="shared" si="62"/>
        <v>0</v>
      </c>
      <c r="P57" s="266">
        <v>72634</v>
      </c>
      <c r="Q57" s="158">
        <f t="shared" si="57"/>
        <v>0</v>
      </c>
      <c r="R57" s="158">
        <f t="shared" si="58"/>
        <v>0</v>
      </c>
      <c r="S57" s="158">
        <f t="shared" si="59"/>
        <v>0</v>
      </c>
      <c r="T57" s="158">
        <f t="shared" si="60"/>
        <v>0</v>
      </c>
      <c r="U57" s="158">
        <f t="shared" si="61"/>
        <v>0</v>
      </c>
      <c r="V57" s="158">
        <f>(L57+M57)*$P57*(1+$R$2)^5</f>
        <v>0</v>
      </c>
      <c r="W57" s="158">
        <f>(N57+O57)*$P57*(1+$R$2)^6</f>
        <v>0</v>
      </c>
      <c r="Y57" s="277">
        <v>50</v>
      </c>
    </row>
    <row r="58" spans="1:26" x14ac:dyDescent="0.25">
      <c r="A58" s="156" t="s">
        <v>182</v>
      </c>
      <c r="B58" s="157">
        <f t="shared" si="62"/>
        <v>0</v>
      </c>
      <c r="C58" s="157">
        <f t="shared" si="62"/>
        <v>0</v>
      </c>
      <c r="D58" s="157">
        <f t="shared" si="62"/>
        <v>0</v>
      </c>
      <c r="E58" s="157">
        <f t="shared" si="62"/>
        <v>0</v>
      </c>
      <c r="F58" s="157">
        <f t="shared" si="62"/>
        <v>0</v>
      </c>
      <c r="G58" s="157">
        <f t="shared" si="62"/>
        <v>0</v>
      </c>
      <c r="H58" s="157">
        <f t="shared" si="62"/>
        <v>0</v>
      </c>
      <c r="I58" s="157">
        <f t="shared" si="62"/>
        <v>0</v>
      </c>
      <c r="J58" s="157">
        <f t="shared" si="62"/>
        <v>0</v>
      </c>
      <c r="K58" s="157">
        <f t="shared" si="62"/>
        <v>0</v>
      </c>
      <c r="L58" s="157">
        <f t="shared" si="62"/>
        <v>0</v>
      </c>
      <c r="M58" s="157">
        <f t="shared" si="62"/>
        <v>0</v>
      </c>
      <c r="N58" s="157">
        <f t="shared" si="62"/>
        <v>0</v>
      </c>
      <c r="O58" s="157">
        <f t="shared" si="62"/>
        <v>0</v>
      </c>
      <c r="P58" s="266">
        <v>67263</v>
      </c>
      <c r="Q58" s="158">
        <f t="shared" si="57"/>
        <v>0</v>
      </c>
      <c r="R58" s="158">
        <f t="shared" si="58"/>
        <v>0</v>
      </c>
      <c r="S58" s="158">
        <f t="shared" si="59"/>
        <v>0</v>
      </c>
      <c r="T58" s="158">
        <f t="shared" si="60"/>
        <v>0</v>
      </c>
      <c r="U58" s="158">
        <f t="shared" si="61"/>
        <v>0</v>
      </c>
      <c r="V58" s="158">
        <f>(L58+M58)*$P58*(1+$R$2)^5</f>
        <v>0</v>
      </c>
      <c r="W58" s="158">
        <f>(N58+O58)*$P58*(1+$R$2)^6</f>
        <v>0</v>
      </c>
      <c r="Y58" s="277">
        <v>50</v>
      </c>
    </row>
    <row r="59" spans="1:26" x14ac:dyDescent="0.25">
      <c r="A59" s="156" t="s">
        <v>183</v>
      </c>
      <c r="B59" s="157">
        <f t="shared" si="62"/>
        <v>0</v>
      </c>
      <c r="C59" s="157">
        <f t="shared" si="62"/>
        <v>0</v>
      </c>
      <c r="D59" s="157">
        <f t="shared" si="62"/>
        <v>0</v>
      </c>
      <c r="E59" s="157">
        <f t="shared" si="62"/>
        <v>0</v>
      </c>
      <c r="F59" s="157">
        <f t="shared" si="62"/>
        <v>0</v>
      </c>
      <c r="G59" s="157">
        <f t="shared" si="62"/>
        <v>0</v>
      </c>
      <c r="H59" s="157">
        <f t="shared" si="62"/>
        <v>0</v>
      </c>
      <c r="I59" s="157">
        <f t="shared" si="62"/>
        <v>0</v>
      </c>
      <c r="J59" s="157">
        <f t="shared" si="62"/>
        <v>0</v>
      </c>
      <c r="K59" s="157">
        <f t="shared" si="62"/>
        <v>0</v>
      </c>
      <c r="L59" s="157">
        <f t="shared" si="62"/>
        <v>0</v>
      </c>
      <c r="M59" s="157">
        <f t="shared" si="62"/>
        <v>0</v>
      </c>
      <c r="N59" s="157">
        <f t="shared" si="62"/>
        <v>0</v>
      </c>
      <c r="O59" s="157">
        <f t="shared" si="62"/>
        <v>0</v>
      </c>
      <c r="P59" s="266">
        <v>102511</v>
      </c>
      <c r="Q59" s="158">
        <f t="shared" si="57"/>
        <v>0</v>
      </c>
      <c r="R59" s="158">
        <f t="shared" si="58"/>
        <v>0</v>
      </c>
      <c r="S59" s="158">
        <f t="shared" si="59"/>
        <v>0</v>
      </c>
      <c r="T59" s="158">
        <f t="shared" si="60"/>
        <v>0</v>
      </c>
      <c r="U59" s="158">
        <f t="shared" si="61"/>
        <v>0</v>
      </c>
      <c r="V59" s="158">
        <f>(L59+M59)*$P59*(1+$R$2)^5</f>
        <v>0</v>
      </c>
      <c r="W59" s="158">
        <f>(N59+O59)*$P59*(1+$R$2)^6</f>
        <v>0</v>
      </c>
      <c r="Y59" s="277">
        <v>50</v>
      </c>
    </row>
    <row r="60" spans="1:26" ht="30" customHeight="1" x14ac:dyDescent="0.25">
      <c r="A60" s="156" t="s">
        <v>184</v>
      </c>
      <c r="B60" s="157">
        <f t="shared" si="62"/>
        <v>0</v>
      </c>
      <c r="C60" s="157">
        <f t="shared" si="62"/>
        <v>0</v>
      </c>
      <c r="D60" s="157">
        <f t="shared" si="62"/>
        <v>0</v>
      </c>
      <c r="E60" s="157">
        <f t="shared" si="62"/>
        <v>0</v>
      </c>
      <c r="F60" s="157">
        <f t="shared" si="62"/>
        <v>0</v>
      </c>
      <c r="G60" s="157">
        <f t="shared" si="62"/>
        <v>0</v>
      </c>
      <c r="H60" s="157">
        <f t="shared" si="62"/>
        <v>0</v>
      </c>
      <c r="I60" s="157">
        <f t="shared" si="62"/>
        <v>0</v>
      </c>
      <c r="J60" s="157">
        <f t="shared" si="62"/>
        <v>0</v>
      </c>
      <c r="K60" s="157">
        <f t="shared" si="62"/>
        <v>0</v>
      </c>
      <c r="L60" s="157">
        <f t="shared" si="62"/>
        <v>0</v>
      </c>
      <c r="M60" s="157">
        <f t="shared" si="62"/>
        <v>0</v>
      </c>
      <c r="N60" s="157">
        <f t="shared" si="62"/>
        <v>0</v>
      </c>
      <c r="O60" s="157">
        <f t="shared" si="62"/>
        <v>0</v>
      </c>
      <c r="P60" s="266">
        <v>966812</v>
      </c>
      <c r="Q60" s="158">
        <f t="shared" si="57"/>
        <v>0</v>
      </c>
      <c r="R60" s="158">
        <f t="shared" si="58"/>
        <v>0</v>
      </c>
      <c r="S60" s="158">
        <f t="shared" si="59"/>
        <v>0</v>
      </c>
      <c r="T60" s="158">
        <f t="shared" si="60"/>
        <v>0</v>
      </c>
      <c r="U60" s="158">
        <f t="shared" si="61"/>
        <v>0</v>
      </c>
      <c r="V60" s="158">
        <f>(L60+M60)*$P60*(1+$R$2)^5</f>
        <v>0</v>
      </c>
      <c r="W60" s="158">
        <f>(N60+O60)*$P60*(1+$R$2)^6</f>
        <v>0</v>
      </c>
      <c r="Y60" s="277">
        <v>50</v>
      </c>
    </row>
    <row r="61" spans="1:26" ht="15" customHeight="1" x14ac:dyDescent="0.25">
      <c r="A61" s="350"/>
      <c r="B61" s="157">
        <f t="shared" si="62"/>
        <v>0</v>
      </c>
      <c r="C61" s="157">
        <f t="shared" si="62"/>
        <v>0</v>
      </c>
      <c r="D61" s="157">
        <f t="shared" si="62"/>
        <v>0</v>
      </c>
      <c r="E61" s="157">
        <f t="shared" si="62"/>
        <v>0</v>
      </c>
      <c r="F61" s="157">
        <f t="shared" si="62"/>
        <v>0</v>
      </c>
      <c r="G61" s="157">
        <f t="shared" si="62"/>
        <v>0</v>
      </c>
      <c r="H61" s="157">
        <f t="shared" si="62"/>
        <v>0</v>
      </c>
      <c r="I61" s="157">
        <f t="shared" si="62"/>
        <v>0</v>
      </c>
      <c r="J61" s="157">
        <f t="shared" si="62"/>
        <v>0</v>
      </c>
      <c r="K61" s="157">
        <f t="shared" si="62"/>
        <v>0</v>
      </c>
      <c r="L61" s="157">
        <f t="shared" si="62"/>
        <v>0</v>
      </c>
      <c r="M61" s="157">
        <f t="shared" si="62"/>
        <v>0</v>
      </c>
      <c r="N61" s="157">
        <f t="shared" si="62"/>
        <v>0</v>
      </c>
      <c r="O61" s="157">
        <f t="shared" si="62"/>
        <v>0</v>
      </c>
      <c r="P61" s="266"/>
      <c r="Q61" s="158">
        <f t="shared" si="57"/>
        <v>0</v>
      </c>
      <c r="R61" s="158">
        <f t="shared" si="58"/>
        <v>0</v>
      </c>
      <c r="S61" s="158">
        <f t="shared" si="59"/>
        <v>0</v>
      </c>
      <c r="T61" s="158">
        <f t="shared" si="60"/>
        <v>0</v>
      </c>
      <c r="U61" s="158">
        <f t="shared" si="61"/>
        <v>0</v>
      </c>
      <c r="V61" s="158">
        <f>(K61+L61)*$P61*(1+$R$2)^4</f>
        <v>0</v>
      </c>
      <c r="W61" s="158">
        <f>(L61+M61)*$P61*(1+$R$2)^4</f>
        <v>0</v>
      </c>
      <c r="Y61" s="277"/>
    </row>
    <row r="62" spans="1:26" x14ac:dyDescent="0.25">
      <c r="A62" s="350"/>
      <c r="B62" s="157">
        <f t="shared" si="62"/>
        <v>0</v>
      </c>
      <c r="C62" s="157">
        <f t="shared" si="62"/>
        <v>0</v>
      </c>
      <c r="D62" s="157">
        <f t="shared" si="62"/>
        <v>0</v>
      </c>
      <c r="E62" s="157">
        <f t="shared" si="62"/>
        <v>0</v>
      </c>
      <c r="F62" s="157">
        <f t="shared" si="62"/>
        <v>0</v>
      </c>
      <c r="G62" s="157">
        <f t="shared" si="62"/>
        <v>0</v>
      </c>
      <c r="H62" s="157">
        <f t="shared" si="62"/>
        <v>0</v>
      </c>
      <c r="I62" s="157">
        <f t="shared" si="62"/>
        <v>0</v>
      </c>
      <c r="J62" s="157">
        <f t="shared" si="62"/>
        <v>0</v>
      </c>
      <c r="K62" s="157">
        <f t="shared" si="62"/>
        <v>0</v>
      </c>
      <c r="L62" s="157">
        <f t="shared" si="62"/>
        <v>0</v>
      </c>
      <c r="M62" s="157">
        <f t="shared" si="62"/>
        <v>0</v>
      </c>
      <c r="N62" s="157">
        <f t="shared" si="62"/>
        <v>0</v>
      </c>
      <c r="O62" s="157">
        <f t="shared" si="62"/>
        <v>0</v>
      </c>
      <c r="P62" s="266"/>
      <c r="Q62" s="158">
        <f t="shared" si="57"/>
        <v>0</v>
      </c>
      <c r="R62" s="158">
        <f t="shared" si="58"/>
        <v>0</v>
      </c>
      <c r="S62" s="158">
        <f t="shared" si="59"/>
        <v>0</v>
      </c>
      <c r="T62" s="158">
        <f t="shared" si="60"/>
        <v>0</v>
      </c>
      <c r="U62" s="158">
        <f t="shared" si="61"/>
        <v>0</v>
      </c>
      <c r="V62" s="158">
        <f>(K62+L62)*$P62*(1+$R$2)^4</f>
        <v>0</v>
      </c>
      <c r="W62" s="158">
        <f>(L62+M62)*$P62*(1+$R$2)^4</f>
        <v>0</v>
      </c>
      <c r="Y62" s="277"/>
    </row>
    <row r="63" spans="1:26" ht="15.75" thickBot="1" x14ac:dyDescent="0.3">
      <c r="A63" s="255" t="s">
        <v>164</v>
      </c>
      <c r="P63" s="263"/>
      <c r="Q63" s="260">
        <f t="shared" ref="Q63:W63" si="63">SUM(Q56:Q62)</f>
        <v>0</v>
      </c>
      <c r="R63" s="260">
        <f t="shared" si="63"/>
        <v>0</v>
      </c>
      <c r="S63" s="260">
        <f t="shared" si="63"/>
        <v>0</v>
      </c>
      <c r="T63" s="260">
        <f t="shared" si="63"/>
        <v>0</v>
      </c>
      <c r="U63" s="260">
        <f t="shared" si="63"/>
        <v>0</v>
      </c>
      <c r="V63" s="260">
        <f t="shared" si="63"/>
        <v>0</v>
      </c>
      <c r="W63" s="260">
        <f t="shared" si="63"/>
        <v>0</v>
      </c>
      <c r="X63" s="246"/>
    </row>
    <row r="64" spans="1:26" ht="7.5" customHeight="1" thickTop="1" x14ac:dyDescent="0.25"/>
    <row r="65" spans="1:25" ht="7.5" customHeight="1" thickBot="1" x14ac:dyDescent="0.3"/>
    <row r="66" spans="1:25" ht="10.5" customHeight="1" thickTop="1" x14ac:dyDescent="0.25">
      <c r="A66" s="479" t="s">
        <v>382</v>
      </c>
      <c r="B66" s="480"/>
      <c r="C66" s="480"/>
      <c r="D66" s="480"/>
      <c r="E66" s="480"/>
      <c r="F66" s="481"/>
    </row>
    <row r="67" spans="1:25" ht="10.5" customHeight="1" x14ac:dyDescent="0.25">
      <c r="A67" s="482"/>
      <c r="B67" s="483"/>
      <c r="C67" s="483"/>
      <c r="D67" s="483"/>
      <c r="E67" s="483"/>
      <c r="F67" s="484"/>
    </row>
    <row r="68" spans="1:25" ht="15" customHeight="1" x14ac:dyDescent="0.25">
      <c r="A68" s="477" t="s">
        <v>160</v>
      </c>
      <c r="B68" s="473">
        <f>B$7</f>
        <v>2027</v>
      </c>
      <c r="C68" s="474"/>
      <c r="D68" s="473">
        <f>D$7</f>
        <v>2028</v>
      </c>
      <c r="E68" s="474"/>
      <c r="F68" s="473">
        <f>F$7</f>
        <v>2029</v>
      </c>
      <c r="G68" s="474"/>
      <c r="H68" s="473">
        <f>H$7</f>
        <v>2030</v>
      </c>
      <c r="I68" s="474"/>
      <c r="J68" s="473">
        <f>J$7</f>
        <v>2031</v>
      </c>
      <c r="K68" s="474"/>
      <c r="L68" s="473">
        <f>L$7</f>
        <v>2032</v>
      </c>
      <c r="M68" s="474"/>
      <c r="N68" s="473">
        <f>N$7</f>
        <v>2033</v>
      </c>
      <c r="O68" s="474"/>
      <c r="Q68" s="471">
        <f>Q$7</f>
        <v>2027</v>
      </c>
      <c r="R68" s="471">
        <f t="shared" ref="R68:W68" si="64">R$7</f>
        <v>2028</v>
      </c>
      <c r="S68" s="471">
        <f t="shared" si="64"/>
        <v>2029</v>
      </c>
      <c r="T68" s="471">
        <f t="shared" si="64"/>
        <v>2030</v>
      </c>
      <c r="U68" s="471">
        <f t="shared" si="64"/>
        <v>2031</v>
      </c>
      <c r="V68" s="471">
        <f t="shared" si="64"/>
        <v>2032</v>
      </c>
      <c r="W68" s="471">
        <f t="shared" si="64"/>
        <v>2033</v>
      </c>
    </row>
    <row r="69" spans="1:25" ht="26.25" customHeight="1" x14ac:dyDescent="0.25">
      <c r="A69" s="478"/>
      <c r="B69" s="37" t="str">
        <f t="shared" ref="B69:O69" si="65">B$8</f>
        <v>PERIODO A</v>
      </c>
      <c r="C69" s="37" t="str">
        <f t="shared" si="65"/>
        <v>PERIODO B</v>
      </c>
      <c r="D69" s="37" t="str">
        <f t="shared" si="65"/>
        <v>PERIODO A</v>
      </c>
      <c r="E69" s="37" t="str">
        <f t="shared" si="65"/>
        <v>PERIODO B</v>
      </c>
      <c r="F69" s="37" t="str">
        <f t="shared" si="65"/>
        <v>PERIODO A</v>
      </c>
      <c r="G69" s="37" t="str">
        <f t="shared" si="65"/>
        <v>PERIODO B</v>
      </c>
      <c r="H69" s="37" t="str">
        <f t="shared" si="65"/>
        <v>PERIODO A</v>
      </c>
      <c r="I69" s="37" t="str">
        <f t="shared" si="65"/>
        <v>PERIODO B</v>
      </c>
      <c r="J69" s="37" t="str">
        <f t="shared" si="65"/>
        <v>PERIODO A</v>
      </c>
      <c r="K69" s="37" t="str">
        <f t="shared" si="65"/>
        <v>PERIODO B</v>
      </c>
      <c r="L69" s="37" t="str">
        <f t="shared" si="65"/>
        <v>PERIODO A</v>
      </c>
      <c r="M69" s="37" t="str">
        <f t="shared" si="65"/>
        <v>PERIODO B</v>
      </c>
      <c r="N69" s="37" t="str">
        <f t="shared" si="65"/>
        <v>PERIODO A</v>
      </c>
      <c r="O69" s="37" t="str">
        <f t="shared" si="65"/>
        <v>PERIODO B</v>
      </c>
      <c r="Q69" s="472"/>
      <c r="R69" s="472"/>
      <c r="S69" s="472"/>
      <c r="T69" s="472"/>
      <c r="U69" s="472"/>
      <c r="V69" s="472"/>
      <c r="W69" s="472"/>
    </row>
    <row r="70" spans="1:25" ht="15.75" thickBot="1" x14ac:dyDescent="0.3">
      <c r="A70" s="249"/>
      <c r="B70" s="281">
        <f>IF($A$2="POSTGRADO",0,COUNTIF(B31:B41,"&gt;0")*1.5)</f>
        <v>0</v>
      </c>
      <c r="C70" s="281">
        <f t="shared" ref="C70:O70" si="66">IF($A$2="POSTGRADO",0,COUNTIF(C31:C41,"&gt;0")*1.5)</f>
        <v>0</v>
      </c>
      <c r="D70" s="281">
        <f t="shared" si="66"/>
        <v>0</v>
      </c>
      <c r="E70" s="281">
        <f t="shared" si="66"/>
        <v>0</v>
      </c>
      <c r="F70" s="281">
        <f t="shared" si="66"/>
        <v>0</v>
      </c>
      <c r="G70" s="281">
        <f t="shared" si="66"/>
        <v>0</v>
      </c>
      <c r="H70" s="281">
        <f t="shared" si="66"/>
        <v>0</v>
      </c>
      <c r="I70" s="281">
        <f t="shared" si="66"/>
        <v>0</v>
      </c>
      <c r="J70" s="281">
        <f t="shared" si="66"/>
        <v>0</v>
      </c>
      <c r="K70" s="281">
        <f t="shared" si="66"/>
        <v>0</v>
      </c>
      <c r="L70" s="281">
        <f t="shared" si="66"/>
        <v>0</v>
      </c>
      <c r="M70" s="281">
        <f t="shared" si="66"/>
        <v>0</v>
      </c>
      <c r="N70" s="281">
        <f t="shared" si="66"/>
        <v>0</v>
      </c>
      <c r="O70" s="281">
        <f t="shared" si="66"/>
        <v>0</v>
      </c>
      <c r="Q70" s="158">
        <f>(B70+C70)*Q$27</f>
        <v>0</v>
      </c>
      <c r="R70" s="158">
        <f>(D70+E70)*R$27</f>
        <v>0</v>
      </c>
      <c r="S70" s="158">
        <f>(F70+G70)*S$27</f>
        <v>0</v>
      </c>
      <c r="T70" s="158">
        <f>(H70+I70)*T$27</f>
        <v>0</v>
      </c>
      <c r="U70" s="158">
        <f>(J70+K70)*U$27</f>
        <v>0</v>
      </c>
      <c r="V70" s="158">
        <f>(L70+M70)*V$27</f>
        <v>0</v>
      </c>
      <c r="W70" s="158">
        <f>(N70+O70)*W$27</f>
        <v>0</v>
      </c>
      <c r="Y70" s="264">
        <f>IF(SUM(Q42:W42)&gt;0,SUM(Q70:W70)/SUM(Q42:W42),0)</f>
        <v>0</v>
      </c>
    </row>
    <row r="71" spans="1:25" ht="7.5" customHeight="1" thickTop="1" x14ac:dyDescent="0.25">
      <c r="L71" s="229"/>
      <c r="M71" s="229"/>
      <c r="N71" s="229"/>
    </row>
    <row r="72" spans="1:25" ht="7.5" customHeight="1" thickBot="1" x14ac:dyDescent="0.3"/>
    <row r="73" spans="1:25" ht="13.5" customHeight="1" thickTop="1" x14ac:dyDescent="0.25">
      <c r="A73" s="479" t="s">
        <v>201</v>
      </c>
      <c r="B73" s="480"/>
      <c r="C73" s="480"/>
      <c r="D73" s="480"/>
      <c r="E73" s="480"/>
      <c r="F73" s="481"/>
    </row>
    <row r="74" spans="1:25" ht="13.5" customHeight="1" x14ac:dyDescent="0.25">
      <c r="A74" s="482"/>
      <c r="B74" s="483"/>
      <c r="C74" s="483"/>
      <c r="D74" s="483"/>
      <c r="E74" s="483"/>
      <c r="F74" s="484"/>
    </row>
    <row r="75" spans="1:25" ht="15" customHeight="1" x14ac:dyDescent="0.25">
      <c r="A75" s="477" t="s">
        <v>160</v>
      </c>
      <c r="B75" s="473">
        <f>B$7</f>
        <v>2027</v>
      </c>
      <c r="C75" s="474"/>
      <c r="D75" s="473">
        <f>D$7</f>
        <v>2028</v>
      </c>
      <c r="E75" s="474"/>
      <c r="F75" s="473">
        <f>F$7</f>
        <v>2029</v>
      </c>
      <c r="G75" s="474"/>
      <c r="H75" s="473">
        <f>H$7</f>
        <v>2030</v>
      </c>
      <c r="I75" s="474"/>
      <c r="J75" s="473">
        <f>J$7</f>
        <v>2031</v>
      </c>
      <c r="K75" s="474"/>
      <c r="L75" s="473">
        <f>L$7</f>
        <v>2032</v>
      </c>
      <c r="M75" s="474"/>
      <c r="N75" s="473">
        <f>N$7</f>
        <v>2033</v>
      </c>
      <c r="O75" s="474"/>
      <c r="P75" s="475" t="s">
        <v>390</v>
      </c>
      <c r="Q75" s="471">
        <f>Q$7</f>
        <v>2027</v>
      </c>
      <c r="R75" s="471">
        <f t="shared" ref="R75:W75" si="67">R$7</f>
        <v>2028</v>
      </c>
      <c r="S75" s="471">
        <f t="shared" si="67"/>
        <v>2029</v>
      </c>
      <c r="T75" s="471">
        <f t="shared" si="67"/>
        <v>2030</v>
      </c>
      <c r="U75" s="471">
        <f t="shared" si="67"/>
        <v>2031</v>
      </c>
      <c r="V75" s="471">
        <f t="shared" si="67"/>
        <v>2032</v>
      </c>
      <c r="W75" s="471">
        <f t="shared" si="67"/>
        <v>2033</v>
      </c>
    </row>
    <row r="76" spans="1:25" ht="25.5" customHeight="1" x14ac:dyDescent="0.25">
      <c r="A76" s="478"/>
      <c r="B76" s="37" t="str">
        <f t="shared" ref="B76:O76" si="68">B$8</f>
        <v>PERIODO A</v>
      </c>
      <c r="C76" s="37" t="str">
        <f t="shared" si="68"/>
        <v>PERIODO B</v>
      </c>
      <c r="D76" s="37" t="str">
        <f t="shared" si="68"/>
        <v>PERIODO A</v>
      </c>
      <c r="E76" s="37" t="str">
        <f t="shared" si="68"/>
        <v>PERIODO B</v>
      </c>
      <c r="F76" s="37" t="str">
        <f t="shared" si="68"/>
        <v>PERIODO A</v>
      </c>
      <c r="G76" s="37" t="str">
        <f t="shared" si="68"/>
        <v>PERIODO B</v>
      </c>
      <c r="H76" s="37" t="str">
        <f t="shared" si="68"/>
        <v>PERIODO A</v>
      </c>
      <c r="I76" s="37" t="str">
        <f t="shared" si="68"/>
        <v>PERIODO B</v>
      </c>
      <c r="J76" s="37" t="str">
        <f t="shared" si="68"/>
        <v>PERIODO A</v>
      </c>
      <c r="K76" s="37" t="str">
        <f t="shared" si="68"/>
        <v>PERIODO B</v>
      </c>
      <c r="L76" s="37" t="str">
        <f t="shared" si="68"/>
        <v>PERIODO A</v>
      </c>
      <c r="M76" s="37" t="str">
        <f t="shared" si="68"/>
        <v>PERIODO B</v>
      </c>
      <c r="N76" s="37" t="str">
        <f t="shared" si="68"/>
        <v>PERIODO A</v>
      </c>
      <c r="O76" s="37" t="str">
        <f t="shared" si="68"/>
        <v>PERIODO B</v>
      </c>
      <c r="P76" s="476"/>
      <c r="Q76" s="472"/>
      <c r="R76" s="472"/>
      <c r="S76" s="472"/>
      <c r="T76" s="472"/>
      <c r="U76" s="472"/>
      <c r="V76" s="472"/>
      <c r="W76" s="472"/>
    </row>
    <row r="77" spans="1:25" ht="22.5" customHeight="1" x14ac:dyDescent="0.25">
      <c r="A77" s="156" t="s">
        <v>10</v>
      </c>
      <c r="B77" s="275"/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4"/>
      <c r="Q77" s="158">
        <f>(B77+C77)*$P77</f>
        <v>0</v>
      </c>
      <c r="R77" s="282">
        <f>(D77+E77)*$P77*(1+$R$2)</f>
        <v>0</v>
      </c>
      <c r="S77" s="282">
        <f>(F77+G77)*$P77*(1+$R$2)^2</f>
        <v>0</v>
      </c>
      <c r="T77" s="282">
        <f>(H77+I77)*$P77*(1+$R$2)^3</f>
        <v>0</v>
      </c>
      <c r="U77" s="282">
        <f>(J77+K77)*$P77*(1+$R$2)^4</f>
        <v>0</v>
      </c>
      <c r="V77" s="282">
        <f>(L77+M77)*$P77*(1+$R$2)^5</f>
        <v>0</v>
      </c>
      <c r="W77" s="282">
        <f>(N77+O77)*$P77*(1+$R$2)^6</f>
        <v>0</v>
      </c>
    </row>
    <row r="78" spans="1:25" ht="33" customHeight="1" thickBot="1" x14ac:dyDescent="0.3">
      <c r="A78" s="249" t="s">
        <v>61</v>
      </c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73"/>
      <c r="Q78" s="251">
        <f>(B78+C78)*$P78</f>
        <v>0</v>
      </c>
      <c r="R78" s="283">
        <f>(D78+E78)*$P78*(1+$R$2)</f>
        <v>0</v>
      </c>
      <c r="S78" s="283">
        <f>(F78+G78)*$P78*(1+$R$2)^2</f>
        <v>0</v>
      </c>
      <c r="T78" s="283">
        <f>(H78+I78)*$P78*(1+$R$2)^3</f>
        <v>0</v>
      </c>
      <c r="U78" s="283">
        <f>(J78+K78)*$P78*(1+$R$2)^4</f>
        <v>0</v>
      </c>
      <c r="V78" s="283">
        <f>(L78+M78)*$P78*(1+$R$2)^5</f>
        <v>0</v>
      </c>
      <c r="W78" s="283">
        <f>(N78+O78)*$P78*(1+$R$2)^6</f>
        <v>0</v>
      </c>
    </row>
    <row r="79" spans="1:25" ht="7.5" customHeight="1" thickTop="1" x14ac:dyDescent="0.25"/>
    <row r="80" spans="1:25" ht="7.5" customHeight="1" thickBot="1" x14ac:dyDescent="0.3"/>
    <row r="81" spans="1:23" ht="13.5" customHeight="1" thickTop="1" x14ac:dyDescent="0.25">
      <c r="A81" s="479" t="s">
        <v>202</v>
      </c>
      <c r="B81" s="480"/>
      <c r="C81" s="480"/>
      <c r="D81" s="480"/>
      <c r="E81" s="480"/>
      <c r="F81" s="481"/>
    </row>
    <row r="82" spans="1:23" ht="13.5" customHeight="1" x14ac:dyDescent="0.25">
      <c r="A82" s="482"/>
      <c r="B82" s="483"/>
      <c r="C82" s="483"/>
      <c r="D82" s="483"/>
      <c r="E82" s="483"/>
      <c r="F82" s="484"/>
    </row>
    <row r="83" spans="1:23" ht="15" customHeight="1" x14ac:dyDescent="0.25">
      <c r="A83" s="477" t="s">
        <v>203</v>
      </c>
      <c r="B83" s="473">
        <f>B$7</f>
        <v>2027</v>
      </c>
      <c r="C83" s="474"/>
      <c r="D83" s="473">
        <f>D$7</f>
        <v>2028</v>
      </c>
      <c r="E83" s="474"/>
      <c r="F83" s="473">
        <f>F$7</f>
        <v>2029</v>
      </c>
      <c r="G83" s="474"/>
      <c r="H83" s="473">
        <f>H$7</f>
        <v>2030</v>
      </c>
      <c r="I83" s="474"/>
      <c r="J83" s="473">
        <f>J$7</f>
        <v>2031</v>
      </c>
      <c r="K83" s="474"/>
      <c r="L83" s="473">
        <f>L$7</f>
        <v>2032</v>
      </c>
      <c r="M83" s="474"/>
      <c r="N83" s="473">
        <f>N$7</f>
        <v>2033</v>
      </c>
      <c r="O83" s="474"/>
      <c r="P83" s="475" t="s">
        <v>390</v>
      </c>
      <c r="Q83" s="471">
        <f>Q$7</f>
        <v>2027</v>
      </c>
      <c r="R83" s="471">
        <f t="shared" ref="R83:W83" si="69">R$7</f>
        <v>2028</v>
      </c>
      <c r="S83" s="471">
        <f t="shared" si="69"/>
        <v>2029</v>
      </c>
      <c r="T83" s="471">
        <f t="shared" si="69"/>
        <v>2030</v>
      </c>
      <c r="U83" s="471">
        <f t="shared" si="69"/>
        <v>2031</v>
      </c>
      <c r="V83" s="471">
        <f t="shared" si="69"/>
        <v>2032</v>
      </c>
      <c r="W83" s="471">
        <f t="shared" si="69"/>
        <v>2033</v>
      </c>
    </row>
    <row r="84" spans="1:23" ht="28.5" customHeight="1" x14ac:dyDescent="0.25">
      <c r="A84" s="478"/>
      <c r="B84" s="37" t="str">
        <f t="shared" ref="B84:O84" si="70">B$8</f>
        <v>PERIODO A</v>
      </c>
      <c r="C84" s="37" t="str">
        <f t="shared" si="70"/>
        <v>PERIODO B</v>
      </c>
      <c r="D84" s="37" t="str">
        <f t="shared" si="70"/>
        <v>PERIODO A</v>
      </c>
      <c r="E84" s="37" t="str">
        <f t="shared" si="70"/>
        <v>PERIODO B</v>
      </c>
      <c r="F84" s="37" t="str">
        <f t="shared" si="70"/>
        <v>PERIODO A</v>
      </c>
      <c r="G84" s="37" t="str">
        <f t="shared" si="70"/>
        <v>PERIODO B</v>
      </c>
      <c r="H84" s="37" t="str">
        <f t="shared" si="70"/>
        <v>PERIODO A</v>
      </c>
      <c r="I84" s="37" t="str">
        <f t="shared" si="70"/>
        <v>PERIODO B</v>
      </c>
      <c r="J84" s="37" t="str">
        <f t="shared" si="70"/>
        <v>PERIODO A</v>
      </c>
      <c r="K84" s="37" t="str">
        <f t="shared" si="70"/>
        <v>PERIODO B</v>
      </c>
      <c r="L84" s="37" t="str">
        <f t="shared" si="70"/>
        <v>PERIODO A</v>
      </c>
      <c r="M84" s="37" t="str">
        <f t="shared" si="70"/>
        <v>PERIODO B</v>
      </c>
      <c r="N84" s="37" t="str">
        <f t="shared" si="70"/>
        <v>PERIODO A</v>
      </c>
      <c r="O84" s="37" t="str">
        <f t="shared" si="70"/>
        <v>PERIODO B</v>
      </c>
      <c r="P84" s="476"/>
      <c r="Q84" s="472"/>
      <c r="R84" s="472"/>
      <c r="S84" s="472"/>
      <c r="T84" s="472"/>
      <c r="U84" s="472"/>
      <c r="V84" s="472"/>
      <c r="W84" s="472"/>
    </row>
    <row r="85" spans="1:23" ht="39" customHeight="1" x14ac:dyDescent="0.25">
      <c r="A85" s="156" t="s">
        <v>114</v>
      </c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4"/>
      <c r="Q85" s="158">
        <f>(B85+C85)*$P85</f>
        <v>0</v>
      </c>
      <c r="R85" s="158">
        <f>(D85+E85)*$P85*(1+$R$2)</f>
        <v>0</v>
      </c>
      <c r="S85" s="158">
        <f>(F85+G85)*$P85*(1+$R$2)^2</f>
        <v>0</v>
      </c>
      <c r="T85" s="158">
        <f>(H85+I85)*$P85*(1+$R$2)^3</f>
        <v>0</v>
      </c>
      <c r="U85" s="158">
        <f>(J85+K85)*$P85*(1+$R$2)^4</f>
        <v>0</v>
      </c>
      <c r="V85" s="158">
        <f>(L85+M85)*$P85*(1+$R$2)^5</f>
        <v>0</v>
      </c>
      <c r="W85" s="158">
        <f>(N85+O85)*$P85*(1+$R$2)^6</f>
        <v>0</v>
      </c>
    </row>
    <row r="86" spans="1:23" ht="30" customHeight="1" x14ac:dyDescent="0.25">
      <c r="A86" s="156" t="s">
        <v>115</v>
      </c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4"/>
      <c r="Q86" s="158">
        <f>(B86+C86)*$P86</f>
        <v>0</v>
      </c>
      <c r="R86" s="158">
        <f>(D86+E86)*$P86*(1+$R$2)</f>
        <v>0</v>
      </c>
      <c r="S86" s="158">
        <f>(F86+G86)*$P86*(1+$R$2)^2</f>
        <v>0</v>
      </c>
      <c r="T86" s="158">
        <f>(H86+I86)*$P86*(1+$R$2)^3</f>
        <v>0</v>
      </c>
      <c r="U86" s="158">
        <f>(J86+K86)*$P86*(1+$R$2)^4</f>
        <v>0</v>
      </c>
      <c r="V86" s="158">
        <f>(L86+M86)*$P86*(1+$R$2)^5</f>
        <v>0</v>
      </c>
      <c r="W86" s="158">
        <f>(N86+O86)*$P86*(1+$R$2)^6</f>
        <v>0</v>
      </c>
    </row>
    <row r="87" spans="1:23" ht="44.25" customHeight="1" x14ac:dyDescent="0.25">
      <c r="A87" s="156" t="s">
        <v>111</v>
      </c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4"/>
      <c r="Q87" s="158">
        <f>(B87+C87)*$P87</f>
        <v>0</v>
      </c>
      <c r="R87" s="158">
        <f>(D87+E87)*$P87*(1+$R$2)</f>
        <v>0</v>
      </c>
      <c r="S87" s="158">
        <f>(F87+G87)*$P87*(1+$R$2)^2</f>
        <v>0</v>
      </c>
      <c r="T87" s="158">
        <f>(H87+I87)*$P87*(1+$R$2)^3</f>
        <v>0</v>
      </c>
      <c r="U87" s="158">
        <f>(J87+K87)*$P87*(1+$R$2)^4</f>
        <v>0</v>
      </c>
      <c r="V87" s="158">
        <f>(L87+M87)*$P87*(1+$R$2)^5</f>
        <v>0</v>
      </c>
      <c r="W87" s="158">
        <f>(N87+O87)*$P87*(1+$R$2)^6</f>
        <v>0</v>
      </c>
    </row>
    <row r="88" spans="1:23" ht="37.5" customHeight="1" x14ac:dyDescent="0.25">
      <c r="A88" s="156" t="s">
        <v>113</v>
      </c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4"/>
      <c r="Q88" s="158">
        <f>(B88+C88)*$P88</f>
        <v>0</v>
      </c>
      <c r="R88" s="158">
        <f>(D88+E88)*$P88*(1+$R$2)</f>
        <v>0</v>
      </c>
      <c r="S88" s="158">
        <f>(F88+G88)*$P88*(1+$R$2)^2</f>
        <v>0</v>
      </c>
      <c r="T88" s="158">
        <f>(H88+I88)*$P88*(1+$R$2)^3</f>
        <v>0</v>
      </c>
      <c r="U88" s="158">
        <f>(J88+K88)*$P88*(1+$R$2)^4</f>
        <v>0</v>
      </c>
      <c r="V88" s="158">
        <f>(L88+M88)*$P88*(1+$R$2)^5</f>
        <v>0</v>
      </c>
      <c r="W88" s="158">
        <f>(N88+O88)*$P88*(1+$R$2)^6</f>
        <v>0</v>
      </c>
    </row>
    <row r="89" spans="1:23" ht="42.75" customHeight="1" x14ac:dyDescent="0.25">
      <c r="A89" s="156" t="s">
        <v>112</v>
      </c>
      <c r="B89" s="275"/>
      <c r="C89" s="275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4"/>
      <c r="Q89" s="158">
        <f>D89*P89</f>
        <v>0</v>
      </c>
      <c r="R89" s="158">
        <f t="shared" ref="R89:W90" si="71">P89*Q89</f>
        <v>0</v>
      </c>
      <c r="S89" s="158">
        <f t="shared" si="71"/>
        <v>0</v>
      </c>
      <c r="T89" s="158">
        <f t="shared" si="71"/>
        <v>0</v>
      </c>
      <c r="U89" s="158">
        <f t="shared" si="71"/>
        <v>0</v>
      </c>
      <c r="V89" s="158">
        <f t="shared" si="71"/>
        <v>0</v>
      </c>
      <c r="W89" s="158">
        <f t="shared" si="71"/>
        <v>0</v>
      </c>
    </row>
    <row r="90" spans="1:23" ht="23.45" customHeight="1" thickBot="1" x14ac:dyDescent="0.3">
      <c r="A90" s="249" t="s">
        <v>110</v>
      </c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51">
        <f>D90*P90</f>
        <v>0</v>
      </c>
      <c r="R90" s="251">
        <f t="shared" si="71"/>
        <v>0</v>
      </c>
      <c r="S90" s="251">
        <f t="shared" si="71"/>
        <v>0</v>
      </c>
      <c r="T90" s="251">
        <f t="shared" si="71"/>
        <v>0</v>
      </c>
      <c r="U90" s="251">
        <f t="shared" si="71"/>
        <v>0</v>
      </c>
      <c r="V90" s="251">
        <f t="shared" si="71"/>
        <v>0</v>
      </c>
      <c r="W90" s="251">
        <f t="shared" si="71"/>
        <v>0</v>
      </c>
    </row>
    <row r="91" spans="1:23" ht="12" customHeight="1" thickTop="1" x14ac:dyDescent="0.25"/>
    <row r="98" spans="1:3" ht="15" hidden="1" customHeight="1" outlineLevel="1" x14ac:dyDescent="0.25">
      <c r="A98" s="245" t="s">
        <v>190</v>
      </c>
      <c r="C98" s="245" t="s">
        <v>200</v>
      </c>
    </row>
    <row r="99" spans="1:3" ht="15" hidden="1" customHeight="1" outlineLevel="1" x14ac:dyDescent="0.25"/>
    <row r="100" spans="1:3" ht="15" hidden="1" customHeight="1" outlineLevel="1" x14ac:dyDescent="0.25">
      <c r="A100" s="245" t="s">
        <v>186</v>
      </c>
      <c r="B100" s="359">
        <v>0.15</v>
      </c>
      <c r="C100" s="245" t="s">
        <v>195</v>
      </c>
    </row>
    <row r="101" spans="1:3" ht="15" hidden="1" customHeight="1" outlineLevel="1" x14ac:dyDescent="0.25">
      <c r="A101" s="245" t="s">
        <v>434</v>
      </c>
      <c r="B101" s="359">
        <v>0.2</v>
      </c>
      <c r="C101" s="245" t="s">
        <v>193</v>
      </c>
    </row>
    <row r="102" spans="1:3" ht="15" hidden="1" customHeight="1" outlineLevel="1" x14ac:dyDescent="0.25">
      <c r="A102" s="245" t="s">
        <v>459</v>
      </c>
      <c r="B102" s="359">
        <v>0.35</v>
      </c>
      <c r="C102" s="245" t="s">
        <v>194</v>
      </c>
    </row>
    <row r="103" spans="1:3" ht="15" hidden="1" customHeight="1" outlineLevel="1" x14ac:dyDescent="0.25">
      <c r="A103" s="245" t="s">
        <v>187</v>
      </c>
      <c r="B103" s="359">
        <v>0.25</v>
      </c>
      <c r="C103" s="245" t="s">
        <v>196</v>
      </c>
    </row>
    <row r="104" spans="1:3" ht="15" hidden="1" customHeight="1" outlineLevel="1" x14ac:dyDescent="0.25">
      <c r="A104" s="245" t="s">
        <v>188</v>
      </c>
      <c r="B104" s="359"/>
      <c r="C104" s="245" t="s">
        <v>197</v>
      </c>
    </row>
    <row r="105" spans="1:3" ht="15" hidden="1" customHeight="1" outlineLevel="1" x14ac:dyDescent="0.25">
      <c r="A105" s="245" t="s">
        <v>189</v>
      </c>
      <c r="B105" s="359"/>
      <c r="C105" s="245" t="s">
        <v>198</v>
      </c>
    </row>
    <row r="106" spans="1:3" ht="15" hidden="1" customHeight="1" outlineLevel="1" x14ac:dyDescent="0.25">
      <c r="C106" s="245" t="s">
        <v>199</v>
      </c>
    </row>
    <row r="107" spans="1:3" collapsed="1" x14ac:dyDescent="0.25"/>
  </sheetData>
  <sheetProtection formatCells="0" formatColumns="0" formatRows="0" insertRows="0" deleteRows="0"/>
  <mergeCells count="142">
    <mergeCell ref="N83:O83"/>
    <mergeCell ref="B68:C68"/>
    <mergeCell ref="D68:E68"/>
    <mergeCell ref="F68:G68"/>
    <mergeCell ref="H68:I68"/>
    <mergeCell ref="J68:K68"/>
    <mergeCell ref="L68:M68"/>
    <mergeCell ref="D28:E28"/>
    <mergeCell ref="Q14:Q15"/>
    <mergeCell ref="B27:K27"/>
    <mergeCell ref="B28:C28"/>
    <mergeCell ref="J47:K47"/>
    <mergeCell ref="B54:C54"/>
    <mergeCell ref="H54:I54"/>
    <mergeCell ref="D54:E54"/>
    <mergeCell ref="F54:G54"/>
    <mergeCell ref="F47:G47"/>
    <mergeCell ref="H47:I47"/>
    <mergeCell ref="J54:K54"/>
    <mergeCell ref="W75:W76"/>
    <mergeCell ref="N68:O68"/>
    <mergeCell ref="B75:C75"/>
    <mergeCell ref="D75:E75"/>
    <mergeCell ref="F75:G75"/>
    <mergeCell ref="H75:I75"/>
    <mergeCell ref="J75:K75"/>
    <mergeCell ref="L75:M75"/>
    <mergeCell ref="P14:P15"/>
    <mergeCell ref="D47:E47"/>
    <mergeCell ref="A66:F67"/>
    <mergeCell ref="L28:M28"/>
    <mergeCell ref="F28:G28"/>
    <mergeCell ref="H28:I28"/>
    <mergeCell ref="J28:K28"/>
    <mergeCell ref="R28:R29"/>
    <mergeCell ref="A28:A29"/>
    <mergeCell ref="P28:P29"/>
    <mergeCell ref="Q28:Q29"/>
    <mergeCell ref="A45:F46"/>
    <mergeCell ref="A52:F53"/>
    <mergeCell ref="A54:A55"/>
    <mergeCell ref="B47:C47"/>
    <mergeCell ref="A47:A48"/>
    <mergeCell ref="V7:V8"/>
    <mergeCell ref="W7:W8"/>
    <mergeCell ref="V28:V29"/>
    <mergeCell ref="W28:W29"/>
    <mergeCell ref="T28:T29"/>
    <mergeCell ref="U28:U29"/>
    <mergeCell ref="T14:T15"/>
    <mergeCell ref="U14:U15"/>
    <mergeCell ref="V14:V15"/>
    <mergeCell ref="W14:W15"/>
    <mergeCell ref="T7:T8"/>
    <mergeCell ref="U7:U8"/>
    <mergeCell ref="A1:F1"/>
    <mergeCell ref="A7:A8"/>
    <mergeCell ref="P7:P8"/>
    <mergeCell ref="Q7:Q8"/>
    <mergeCell ref="A2:F2"/>
    <mergeCell ref="A5:F6"/>
    <mergeCell ref="N14:O14"/>
    <mergeCell ref="I1:M2"/>
    <mergeCell ref="A25:F26"/>
    <mergeCell ref="B7:C7"/>
    <mergeCell ref="D7:E7"/>
    <mergeCell ref="F7:G7"/>
    <mergeCell ref="H7:I7"/>
    <mergeCell ref="J7:K7"/>
    <mergeCell ref="L7:M7"/>
    <mergeCell ref="N7:O7"/>
    <mergeCell ref="B14:C14"/>
    <mergeCell ref="D14:E14"/>
    <mergeCell ref="F14:G14"/>
    <mergeCell ref="H14:I14"/>
    <mergeCell ref="J14:K14"/>
    <mergeCell ref="L14:M14"/>
    <mergeCell ref="A12:F13"/>
    <mergeCell ref="A14:A15"/>
    <mergeCell ref="A83:A84"/>
    <mergeCell ref="P83:P84"/>
    <mergeCell ref="Q83:Q84"/>
    <mergeCell ref="Q68:Q69"/>
    <mergeCell ref="A81:F82"/>
    <mergeCell ref="A68:A69"/>
    <mergeCell ref="A75:A76"/>
    <mergeCell ref="V75:V76"/>
    <mergeCell ref="N75:O75"/>
    <mergeCell ref="A73:F74"/>
    <mergeCell ref="S75:S76"/>
    <mergeCell ref="T75:T76"/>
    <mergeCell ref="P75:P76"/>
    <mergeCell ref="Q75:Q76"/>
    <mergeCell ref="S68:S69"/>
    <mergeCell ref="T68:T69"/>
    <mergeCell ref="V68:V69"/>
    <mergeCell ref="V83:V84"/>
    <mergeCell ref="B83:C83"/>
    <mergeCell ref="D83:E83"/>
    <mergeCell ref="F83:G83"/>
    <mergeCell ref="H83:I83"/>
    <mergeCell ref="J83:K83"/>
    <mergeCell ref="L83:M83"/>
    <mergeCell ref="W47:W48"/>
    <mergeCell ref="V54:V55"/>
    <mergeCell ref="W54:W55"/>
    <mergeCell ref="L47:M47"/>
    <mergeCell ref="N47:O47"/>
    <mergeCell ref="L54:M54"/>
    <mergeCell ref="N54:O54"/>
    <mergeCell ref="S54:S55"/>
    <mergeCell ref="T54:T55"/>
    <mergeCell ref="U54:U55"/>
    <mergeCell ref="Q47:Q48"/>
    <mergeCell ref="R54:R55"/>
    <mergeCell ref="P54:P55"/>
    <mergeCell ref="Q54:Q55"/>
    <mergeCell ref="R47:R48"/>
    <mergeCell ref="Y7:Y8"/>
    <mergeCell ref="Z7:Z8"/>
    <mergeCell ref="S28:S29"/>
    <mergeCell ref="U68:U69"/>
    <mergeCell ref="U75:U76"/>
    <mergeCell ref="N28:O28"/>
    <mergeCell ref="P47:P48"/>
    <mergeCell ref="R83:R84"/>
    <mergeCell ref="S83:S84"/>
    <mergeCell ref="T83:T84"/>
    <mergeCell ref="U83:U84"/>
    <mergeCell ref="R75:R76"/>
    <mergeCell ref="R68:R69"/>
    <mergeCell ref="Y54:Y55"/>
    <mergeCell ref="S47:S48"/>
    <mergeCell ref="T47:T48"/>
    <mergeCell ref="U47:U48"/>
    <mergeCell ref="V47:V48"/>
    <mergeCell ref="S7:S8"/>
    <mergeCell ref="R14:R15"/>
    <mergeCell ref="R7:R8"/>
    <mergeCell ref="S14:S15"/>
    <mergeCell ref="W83:W84"/>
    <mergeCell ref="W68:W69"/>
  </mergeCells>
  <phoneticPr fontId="20" type="noConversion"/>
  <dataValidations count="3">
    <dataValidation type="list" allowBlank="1" showInputMessage="1" showErrorMessage="1" sqref="A2:F2" xr:uid="{00000000-0002-0000-0100-000000000000}">
      <formula1>FORMACION</formula1>
    </dataValidation>
    <dataValidation type="list" allowBlank="1" showInputMessage="1" showErrorMessage="1" sqref="J25" xr:uid="{00000000-0002-0000-0100-000001000000}">
      <formula1>$X$30:$X$41</formula1>
    </dataValidation>
    <dataValidation type="list" allowBlank="1" showInputMessage="1" showErrorMessage="1" sqref="J5" xr:uid="{00000000-0002-0000-0100-000002000000}">
      <formula1>$AA$1:$AA$3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5"/>
  <sheetViews>
    <sheetView zoomScale="90" zoomScaleNormal="90" workbookViewId="0">
      <pane ySplit="1" topLeftCell="A96" activePane="bottomLeft" state="frozen"/>
      <selection pane="bottomLeft" activeCell="D113" sqref="D113"/>
    </sheetView>
  </sheetViews>
  <sheetFormatPr baseColWidth="10" defaultColWidth="17.28515625" defaultRowHeight="15" x14ac:dyDescent="0.25"/>
  <cols>
    <col min="1" max="1" width="34.42578125" style="36" customWidth="1"/>
    <col min="2" max="2" width="18.140625" style="36" customWidth="1"/>
    <col min="3" max="3" width="16.7109375" style="36" customWidth="1"/>
    <col min="4" max="4" width="14.85546875" style="36" customWidth="1"/>
    <col min="5" max="6" width="14.28515625" style="36" customWidth="1"/>
    <col min="7" max="7" width="37.85546875" style="36" customWidth="1"/>
    <col min="8" max="8" width="6.5703125" style="36" customWidth="1"/>
    <col min="9" max="9" width="2.7109375" style="36" customWidth="1"/>
    <col min="10" max="16384" width="17.28515625" style="36"/>
  </cols>
  <sheetData>
    <row r="1" spans="1:11" ht="23.25" customHeight="1" x14ac:dyDescent="0.25">
      <c r="A1" s="547" t="s">
        <v>204</v>
      </c>
      <c r="B1" s="547"/>
      <c r="C1" s="547"/>
      <c r="D1" s="547"/>
      <c r="E1" s="547"/>
      <c r="F1" s="547"/>
      <c r="G1" s="547"/>
      <c r="J1" s="494" t="s">
        <v>381</v>
      </c>
      <c r="K1" s="494"/>
    </row>
    <row r="2" spans="1:11" ht="9" customHeight="1" thickBot="1" x14ac:dyDescent="0.3">
      <c r="A2" s="38"/>
      <c r="B2" s="38"/>
      <c r="C2" s="38"/>
      <c r="D2" s="38"/>
      <c r="E2" s="38"/>
      <c r="F2" s="38"/>
      <c r="G2" s="38"/>
      <c r="J2" s="494"/>
      <c r="K2" s="494"/>
    </row>
    <row r="3" spans="1:11" ht="19.5" thickTop="1" x14ac:dyDescent="0.25">
      <c r="A3" s="506" t="s">
        <v>205</v>
      </c>
      <c r="B3" s="507"/>
      <c r="C3" s="507"/>
      <c r="D3" s="507"/>
      <c r="E3" s="507"/>
      <c r="F3" s="507"/>
      <c r="G3" s="508"/>
      <c r="J3" s="494"/>
      <c r="K3" s="494"/>
    </row>
    <row r="4" spans="1:11" ht="22.5" customHeight="1" x14ac:dyDescent="0.25">
      <c r="A4" s="535" t="s">
        <v>206</v>
      </c>
      <c r="B4" s="537" t="s">
        <v>207</v>
      </c>
      <c r="C4" s="537" t="s">
        <v>208</v>
      </c>
      <c r="D4" s="537" t="s">
        <v>209</v>
      </c>
      <c r="E4" s="537" t="s">
        <v>210</v>
      </c>
      <c r="F4" s="39" t="s">
        <v>391</v>
      </c>
      <c r="G4" s="545" t="s">
        <v>211</v>
      </c>
    </row>
    <row r="5" spans="1:11" x14ac:dyDescent="0.25">
      <c r="A5" s="536"/>
      <c r="B5" s="538"/>
      <c r="C5" s="538"/>
      <c r="D5" s="538"/>
      <c r="E5" s="538"/>
      <c r="F5" s="40">
        <v>0.52</v>
      </c>
      <c r="G5" s="546"/>
    </row>
    <row r="6" spans="1:11" x14ac:dyDescent="0.25">
      <c r="A6" s="284"/>
      <c r="B6" s="285"/>
      <c r="C6" s="285"/>
      <c r="D6" s="285"/>
      <c r="E6" s="65">
        <f>((C6+D6)*B6)*11.5</f>
        <v>0</v>
      </c>
      <c r="F6" s="65">
        <f>E6*$F$5</f>
        <v>0</v>
      </c>
      <c r="G6" s="66">
        <f>E6+F6</f>
        <v>0</v>
      </c>
    </row>
    <row r="7" spans="1:11" x14ac:dyDescent="0.25">
      <c r="A7" s="284"/>
      <c r="B7" s="285"/>
      <c r="C7" s="285"/>
      <c r="D7" s="285"/>
      <c r="E7" s="65">
        <f>((C7+D7)*B7)*11.5</f>
        <v>0</v>
      </c>
      <c r="F7" s="65">
        <f>E7*$F$5</f>
        <v>0</v>
      </c>
      <c r="G7" s="66">
        <f>E7+F7</f>
        <v>0</v>
      </c>
    </row>
    <row r="8" spans="1:11" ht="15.75" thickBot="1" x14ac:dyDescent="0.3">
      <c r="A8" s="42" t="s">
        <v>212</v>
      </c>
      <c r="B8" s="152"/>
      <c r="C8" s="152"/>
      <c r="D8" s="152"/>
      <c r="E8" s="67">
        <f>SUM(E6:E7)</f>
        <v>0</v>
      </c>
      <c r="F8" s="67">
        <f>SUM(F6:F7)</f>
        <v>0</v>
      </c>
      <c r="G8" s="68">
        <f>SUM(G6:G7)</f>
        <v>0</v>
      </c>
    </row>
    <row r="9" spans="1:11" ht="9" customHeight="1" thickTop="1" x14ac:dyDescent="0.25">
      <c r="A9" s="45"/>
      <c r="B9" s="46"/>
      <c r="C9" s="46"/>
      <c r="D9" s="46"/>
      <c r="E9" s="46"/>
      <c r="F9" s="46"/>
      <c r="G9" s="46"/>
    </row>
    <row r="10" spans="1:11" ht="9" customHeight="1" thickBot="1" x14ac:dyDescent="0.3">
      <c r="A10" s="47"/>
      <c r="B10" s="47"/>
      <c r="C10" s="47"/>
      <c r="D10" s="47"/>
      <c r="E10" s="47"/>
      <c r="F10" s="47"/>
      <c r="G10" s="47"/>
    </row>
    <row r="11" spans="1:11" ht="19.5" thickTop="1" x14ac:dyDescent="0.25">
      <c r="A11" s="506" t="s">
        <v>266</v>
      </c>
      <c r="B11" s="507"/>
      <c r="C11" s="507"/>
      <c r="D11" s="507"/>
      <c r="E11" s="507"/>
      <c r="F11" s="507"/>
      <c r="G11" s="508"/>
    </row>
    <row r="12" spans="1:11" x14ac:dyDescent="0.25">
      <c r="A12" s="535" t="s">
        <v>8</v>
      </c>
      <c r="B12" s="537" t="s">
        <v>207</v>
      </c>
      <c r="C12" s="537" t="s">
        <v>213</v>
      </c>
      <c r="D12" s="537" t="s">
        <v>9</v>
      </c>
      <c r="E12" s="539" t="s">
        <v>214</v>
      </c>
      <c r="F12" s="540"/>
      <c r="G12" s="541"/>
    </row>
    <row r="13" spans="1:11" x14ac:dyDescent="0.25">
      <c r="A13" s="536"/>
      <c r="B13" s="538"/>
      <c r="C13" s="538"/>
      <c r="D13" s="538"/>
      <c r="E13" s="542"/>
      <c r="F13" s="543"/>
      <c r="G13" s="544"/>
    </row>
    <row r="14" spans="1:11" x14ac:dyDescent="0.25">
      <c r="A14" s="284"/>
      <c r="B14" s="287"/>
      <c r="C14" s="287"/>
      <c r="D14" s="65">
        <f>+B14*C14</f>
        <v>0</v>
      </c>
      <c r="E14" s="502"/>
      <c r="F14" s="511"/>
      <c r="G14" s="503"/>
    </row>
    <row r="15" spans="1:11" x14ac:dyDescent="0.25">
      <c r="A15" s="284"/>
      <c r="B15" s="287"/>
      <c r="C15" s="287"/>
      <c r="D15" s="65">
        <f>+B15*C15</f>
        <v>0</v>
      </c>
      <c r="E15" s="502"/>
      <c r="F15" s="511"/>
      <c r="G15" s="503"/>
    </row>
    <row r="16" spans="1:11" ht="15.75" thickBot="1" x14ac:dyDescent="0.3">
      <c r="A16" s="42" t="s">
        <v>212</v>
      </c>
      <c r="B16" s="43"/>
      <c r="C16" s="43"/>
      <c r="D16" s="67">
        <f>SUM(D14:D15)</f>
        <v>0</v>
      </c>
      <c r="E16" s="48"/>
      <c r="F16" s="48"/>
      <c r="G16" s="49"/>
    </row>
    <row r="17" spans="1:16" ht="9" customHeight="1" thickTop="1" x14ac:dyDescent="0.25">
      <c r="A17" s="47"/>
      <c r="B17" s="47"/>
      <c r="C17" s="47"/>
      <c r="D17" s="47"/>
      <c r="E17" s="47"/>
      <c r="F17" s="47"/>
      <c r="G17" s="47"/>
    </row>
    <row r="18" spans="1:16" ht="9" customHeight="1" thickBot="1" x14ac:dyDescent="0.3">
      <c r="A18" s="47"/>
      <c r="B18" s="47"/>
      <c r="C18" s="47"/>
      <c r="D18" s="47"/>
      <c r="E18" s="47"/>
      <c r="F18" s="47"/>
      <c r="G18" s="47"/>
    </row>
    <row r="19" spans="1:16" ht="19.5" thickTop="1" x14ac:dyDescent="0.25">
      <c r="A19" s="506" t="s">
        <v>267</v>
      </c>
      <c r="B19" s="507"/>
      <c r="C19" s="507"/>
      <c r="D19" s="507"/>
      <c r="E19" s="507"/>
      <c r="F19" s="507"/>
      <c r="G19" s="508"/>
    </row>
    <row r="20" spans="1:16" x14ac:dyDescent="0.25">
      <c r="A20" s="535" t="s">
        <v>8</v>
      </c>
      <c r="B20" s="537" t="s">
        <v>207</v>
      </c>
      <c r="C20" s="537" t="s">
        <v>213</v>
      </c>
      <c r="D20" s="537" t="s">
        <v>9</v>
      </c>
      <c r="E20" s="539" t="s">
        <v>214</v>
      </c>
      <c r="F20" s="540"/>
      <c r="G20" s="541"/>
    </row>
    <row r="21" spans="1:16" x14ac:dyDescent="0.25">
      <c r="A21" s="536"/>
      <c r="B21" s="538"/>
      <c r="C21" s="538"/>
      <c r="D21" s="538"/>
      <c r="E21" s="542"/>
      <c r="F21" s="543"/>
      <c r="G21" s="544"/>
    </row>
    <row r="22" spans="1:16" x14ac:dyDescent="0.25">
      <c r="A22" s="284"/>
      <c r="B22" s="287"/>
      <c r="C22" s="287"/>
      <c r="D22" s="65">
        <f>+B22*C22</f>
        <v>0</v>
      </c>
      <c r="E22" s="548"/>
      <c r="F22" s="549"/>
      <c r="G22" s="550"/>
    </row>
    <row r="23" spans="1:16" x14ac:dyDescent="0.25">
      <c r="A23" s="284"/>
      <c r="B23" s="287"/>
      <c r="C23" s="287"/>
      <c r="D23" s="65">
        <f>+B23*C23</f>
        <v>0</v>
      </c>
      <c r="E23" s="548"/>
      <c r="F23" s="549"/>
      <c r="G23" s="550"/>
    </row>
    <row r="24" spans="1:16" ht="15.75" thickBot="1" x14ac:dyDescent="0.3">
      <c r="A24" s="42" t="s">
        <v>212</v>
      </c>
      <c r="B24" s="43"/>
      <c r="C24" s="43"/>
      <c r="D24" s="67">
        <f>SUM(D22:D23)</f>
        <v>0</v>
      </c>
      <c r="E24" s="48"/>
      <c r="F24" s="48"/>
      <c r="G24" s="49"/>
    </row>
    <row r="25" spans="1:16" ht="9" customHeight="1" thickTop="1" x14ac:dyDescent="0.25">
      <c r="A25" s="47"/>
      <c r="B25" s="47"/>
      <c r="C25" s="47"/>
      <c r="D25" s="47"/>
      <c r="E25" s="47"/>
      <c r="F25" s="47"/>
      <c r="G25" s="47"/>
    </row>
    <row r="26" spans="1:16" ht="9" customHeight="1" thickBot="1" x14ac:dyDescent="0.3">
      <c r="A26" s="47"/>
      <c r="B26" s="47"/>
      <c r="C26" s="47"/>
      <c r="D26" s="47"/>
      <c r="E26" s="47"/>
      <c r="F26" s="47"/>
      <c r="G26" s="47"/>
    </row>
    <row r="27" spans="1:16" ht="19.5" thickTop="1" x14ac:dyDescent="0.25">
      <c r="A27" s="506" t="s">
        <v>215</v>
      </c>
      <c r="B27" s="507"/>
      <c r="C27" s="507"/>
      <c r="D27" s="507"/>
      <c r="E27" s="507"/>
      <c r="F27" s="507"/>
      <c r="G27" s="508"/>
      <c r="I27" s="122"/>
      <c r="J27" s="122"/>
      <c r="K27" s="122"/>
      <c r="L27" s="122"/>
      <c r="M27" s="122"/>
      <c r="N27" s="122"/>
      <c r="O27" s="122"/>
      <c r="P27" s="122"/>
    </row>
    <row r="28" spans="1:16" ht="22.5" customHeight="1" x14ac:dyDescent="0.25">
      <c r="A28" s="50" t="s">
        <v>8</v>
      </c>
      <c r="B28" s="39" t="s">
        <v>216</v>
      </c>
      <c r="C28" s="39" t="s">
        <v>217</v>
      </c>
      <c r="D28" s="39" t="s">
        <v>218</v>
      </c>
      <c r="E28" s="39" t="s">
        <v>9</v>
      </c>
      <c r="F28" s="514" t="s">
        <v>214</v>
      </c>
      <c r="G28" s="515"/>
    </row>
    <row r="29" spans="1:16" x14ac:dyDescent="0.25">
      <c r="A29" s="41" t="s">
        <v>334</v>
      </c>
      <c r="B29" s="91"/>
      <c r="C29" s="154">
        <f>+'ESTUDIANTES Y DOCENTES'!D$45+'ESTUDIANTES Y DOCENTES'!F$45</f>
        <v>0</v>
      </c>
      <c r="D29" s="286">
        <f>TARIFAS!B4</f>
        <v>51779</v>
      </c>
      <c r="E29" s="65">
        <f t="shared" ref="E29:E35" si="0">+C29*D29</f>
        <v>0</v>
      </c>
      <c r="F29" s="500"/>
      <c r="G29" s="501"/>
    </row>
    <row r="30" spans="1:16" x14ac:dyDescent="0.25">
      <c r="A30" s="41" t="s">
        <v>335</v>
      </c>
      <c r="B30" s="91"/>
      <c r="C30" s="154">
        <f>+'ESTUDIANTES Y DOCENTES'!H$45+'ESTUDIANTES Y DOCENTES'!J$45</f>
        <v>0</v>
      </c>
      <c r="D30" s="155">
        <f>+D29*(1+CONSOLIDADO!F$78)</f>
        <v>54367.950000000004</v>
      </c>
      <c r="E30" s="65">
        <f t="shared" si="0"/>
        <v>0</v>
      </c>
      <c r="F30" s="500"/>
      <c r="G30" s="501"/>
    </row>
    <row r="31" spans="1:16" x14ac:dyDescent="0.25">
      <c r="A31" s="41" t="s">
        <v>336</v>
      </c>
      <c r="B31" s="91"/>
      <c r="C31" s="154">
        <f>+'ESTUDIANTES Y DOCENTES'!L$45+'ESTUDIANTES Y DOCENTES'!N$45</f>
        <v>0</v>
      </c>
      <c r="D31" s="155">
        <f>+D30*(1+CONSOLIDADO!G$78)</f>
        <v>57086.347500000003</v>
      </c>
      <c r="E31" s="65">
        <f t="shared" si="0"/>
        <v>0</v>
      </c>
      <c r="F31" s="500"/>
      <c r="G31" s="501"/>
    </row>
    <row r="32" spans="1:16" x14ac:dyDescent="0.25">
      <c r="A32" s="41" t="s">
        <v>337</v>
      </c>
      <c r="B32" s="91"/>
      <c r="C32" s="154">
        <f>+'ESTUDIANTES Y DOCENTES'!P$45+'ESTUDIANTES Y DOCENTES'!R$45</f>
        <v>0</v>
      </c>
      <c r="D32" s="155">
        <f>+D31*(1+CONSOLIDADO!H$78)</f>
        <v>59940.664875000009</v>
      </c>
      <c r="E32" s="65">
        <f t="shared" si="0"/>
        <v>0</v>
      </c>
      <c r="F32" s="496"/>
      <c r="G32" s="497"/>
    </row>
    <row r="33" spans="1:7" x14ac:dyDescent="0.25">
      <c r="A33" s="41" t="s">
        <v>338</v>
      </c>
      <c r="B33" s="91"/>
      <c r="C33" s="154">
        <f>+'ESTUDIANTES Y DOCENTES'!T$45+'ESTUDIANTES Y DOCENTES'!V$45</f>
        <v>0</v>
      </c>
      <c r="D33" s="155">
        <f>+D32*(1+CONSOLIDADO!I$78)</f>
        <v>62937.698118750013</v>
      </c>
      <c r="E33" s="65">
        <f t="shared" si="0"/>
        <v>0</v>
      </c>
      <c r="F33" s="496"/>
      <c r="G33" s="497"/>
    </row>
    <row r="34" spans="1:7" x14ac:dyDescent="0.25">
      <c r="A34" s="41" t="s">
        <v>378</v>
      </c>
      <c r="B34" s="226"/>
      <c r="C34" s="154">
        <f>'ESTUDIANTES Y DOCENTES'!X45+'ESTUDIANTES Y DOCENTES'!Z45</f>
        <v>0</v>
      </c>
      <c r="D34" s="155">
        <f>+D33*(1+CONSOLIDADO!J$78)</f>
        <v>66084.583024687512</v>
      </c>
      <c r="E34" s="65">
        <f t="shared" si="0"/>
        <v>0</v>
      </c>
      <c r="F34" s="227"/>
      <c r="G34" s="228"/>
    </row>
    <row r="35" spans="1:7" x14ac:dyDescent="0.25">
      <c r="A35" s="41" t="s">
        <v>379</v>
      </c>
      <c r="B35" s="226"/>
      <c r="C35" s="154">
        <f>'ESTUDIANTES Y DOCENTES'!AB45+'ESTUDIANTES Y DOCENTES'!AD45</f>
        <v>0</v>
      </c>
      <c r="D35" s="155">
        <f>+D34*(1+CONSOLIDADO!K$78)</f>
        <v>69388.812175921892</v>
      </c>
      <c r="E35" s="65">
        <f t="shared" si="0"/>
        <v>0</v>
      </c>
      <c r="F35" s="227"/>
      <c r="G35" s="228"/>
    </row>
    <row r="36" spans="1:7" ht="15.75" thickBot="1" x14ac:dyDescent="0.3">
      <c r="A36" s="42" t="s">
        <v>212</v>
      </c>
      <c r="B36" s="43"/>
      <c r="C36" s="152">
        <f>SUM(C29:C35)</f>
        <v>0</v>
      </c>
      <c r="D36" s="152"/>
      <c r="E36" s="67">
        <f>SUM(E29:E35)</f>
        <v>0</v>
      </c>
      <c r="F36" s="498"/>
      <c r="G36" s="525"/>
    </row>
    <row r="37" spans="1:7" ht="9" customHeight="1" thickTop="1" x14ac:dyDescent="0.25">
      <c r="A37" s="47"/>
      <c r="B37" s="47"/>
      <c r="C37" s="47"/>
      <c r="D37" s="47"/>
      <c r="E37" s="47"/>
      <c r="F37" s="47"/>
      <c r="G37" s="47"/>
    </row>
    <row r="38" spans="1:7" ht="9" customHeight="1" thickBot="1" x14ac:dyDescent="0.3">
      <c r="A38" s="47"/>
      <c r="B38" s="47"/>
      <c r="C38" s="47"/>
      <c r="D38" s="47"/>
      <c r="E38" s="47"/>
      <c r="F38" s="47"/>
      <c r="G38" s="47"/>
    </row>
    <row r="39" spans="1:7" ht="19.5" thickTop="1" x14ac:dyDescent="0.25">
      <c r="A39" s="506" t="s">
        <v>421</v>
      </c>
      <c r="B39" s="507"/>
      <c r="C39" s="507"/>
      <c r="D39" s="507"/>
      <c r="E39" s="507"/>
      <c r="F39" s="507"/>
      <c r="G39" s="508"/>
    </row>
    <row r="40" spans="1:7" ht="22.5" customHeight="1" x14ac:dyDescent="0.25">
      <c r="A40" s="50" t="s">
        <v>8</v>
      </c>
      <c r="B40" s="39" t="s">
        <v>216</v>
      </c>
      <c r="C40" s="39" t="s">
        <v>219</v>
      </c>
      <c r="D40" s="39" t="s">
        <v>220</v>
      </c>
      <c r="E40" s="39" t="s">
        <v>9</v>
      </c>
      <c r="F40" s="514" t="s">
        <v>214</v>
      </c>
      <c r="G40" s="515"/>
    </row>
    <row r="41" spans="1:7" x14ac:dyDescent="0.25">
      <c r="A41" s="284"/>
      <c r="B41" s="288"/>
      <c r="C41" s="287"/>
      <c r="D41" s="287"/>
      <c r="E41" s="65">
        <f>+C41*D41</f>
        <v>0</v>
      </c>
      <c r="F41" s="500"/>
      <c r="G41" s="501"/>
    </row>
    <row r="42" spans="1:7" x14ac:dyDescent="0.25">
      <c r="A42" s="284"/>
      <c r="B42" s="288"/>
      <c r="C42" s="287"/>
      <c r="D42" s="287"/>
      <c r="E42" s="65">
        <f t="shared" ref="E42:E44" si="1">+C42*D42</f>
        <v>0</v>
      </c>
      <c r="F42" s="500"/>
      <c r="G42" s="501"/>
    </row>
    <row r="43" spans="1:7" x14ac:dyDescent="0.25">
      <c r="A43" s="284"/>
      <c r="B43" s="288"/>
      <c r="C43" s="287"/>
      <c r="D43" s="287"/>
      <c r="E43" s="65">
        <f t="shared" si="1"/>
        <v>0</v>
      </c>
      <c r="F43" s="500"/>
      <c r="G43" s="501"/>
    </row>
    <row r="44" spans="1:7" x14ac:dyDescent="0.25">
      <c r="A44" s="284"/>
      <c r="B44" s="288"/>
      <c r="C44" s="287"/>
      <c r="D44" s="287"/>
      <c r="E44" s="65">
        <f t="shared" si="1"/>
        <v>0</v>
      </c>
      <c r="F44" s="500"/>
      <c r="G44" s="501"/>
    </row>
    <row r="45" spans="1:7" ht="15.75" thickBot="1" x14ac:dyDescent="0.3">
      <c r="A45" s="42" t="s">
        <v>212</v>
      </c>
      <c r="B45" s="43"/>
      <c r="C45" s="43"/>
      <c r="D45" s="43"/>
      <c r="E45" s="67">
        <f>SUM(E41:E44)</f>
        <v>0</v>
      </c>
      <c r="F45" s="498"/>
      <c r="G45" s="525"/>
    </row>
    <row r="46" spans="1:7" ht="9" customHeight="1" thickTop="1" x14ac:dyDescent="0.25">
      <c r="A46" s="47"/>
      <c r="B46" s="47"/>
      <c r="C46" s="47"/>
      <c r="D46" s="47"/>
      <c r="E46" s="47"/>
      <c r="F46" s="47"/>
      <c r="G46" s="47"/>
    </row>
    <row r="47" spans="1:7" ht="9" customHeight="1" thickBot="1" x14ac:dyDescent="0.3">
      <c r="A47" s="47"/>
      <c r="B47" s="47"/>
      <c r="C47" s="47"/>
      <c r="D47" s="47"/>
      <c r="E47" s="47"/>
      <c r="F47" s="47"/>
      <c r="G47" s="47"/>
    </row>
    <row r="48" spans="1:7" ht="19.5" thickTop="1" x14ac:dyDescent="0.25">
      <c r="A48" s="506" t="s">
        <v>221</v>
      </c>
      <c r="B48" s="507"/>
      <c r="C48" s="507"/>
      <c r="D48" s="507"/>
      <c r="E48" s="507"/>
      <c r="F48" s="507"/>
      <c r="G48" s="508"/>
    </row>
    <row r="49" spans="1:7" ht="21.75" customHeight="1" x14ac:dyDescent="0.25">
      <c r="A49" s="50" t="s">
        <v>8</v>
      </c>
      <c r="B49" s="233" t="s">
        <v>216</v>
      </c>
      <c r="C49" s="39" t="s">
        <v>225</v>
      </c>
      <c r="D49" s="39" t="s">
        <v>220</v>
      </c>
      <c r="E49" s="39" t="s">
        <v>9</v>
      </c>
      <c r="F49" s="514" t="s">
        <v>214</v>
      </c>
      <c r="G49" s="515"/>
    </row>
    <row r="50" spans="1:7" x14ac:dyDescent="0.25">
      <c r="A50" s="284"/>
      <c r="B50" s="289"/>
      <c r="C50" s="285"/>
      <c r="D50" s="287"/>
      <c r="E50" s="65">
        <f>+D50*C50</f>
        <v>0</v>
      </c>
      <c r="F50" s="500"/>
      <c r="G50" s="501"/>
    </row>
    <row r="51" spans="1:7" x14ac:dyDescent="0.25">
      <c r="A51" s="284"/>
      <c r="B51" s="290"/>
      <c r="C51" s="291"/>
      <c r="D51" s="285"/>
      <c r="E51" s="65">
        <f>+D51*C51</f>
        <v>0</v>
      </c>
      <c r="F51" s="500"/>
      <c r="G51" s="501"/>
    </row>
    <row r="52" spans="1:7" ht="15" customHeight="1" x14ac:dyDescent="0.25">
      <c r="A52" s="284"/>
      <c r="B52" s="290"/>
      <c r="C52" s="291"/>
      <c r="D52" s="285"/>
      <c r="E52" s="65">
        <f>+D52*C52</f>
        <v>0</v>
      </c>
      <c r="F52" s="500"/>
      <c r="G52" s="501"/>
    </row>
    <row r="53" spans="1:7" x14ac:dyDescent="0.25">
      <c r="A53" s="284"/>
      <c r="B53" s="290"/>
      <c r="C53" s="291"/>
      <c r="D53" s="285"/>
      <c r="E53" s="65">
        <f>+D53*C53</f>
        <v>0</v>
      </c>
      <c r="F53" s="500"/>
      <c r="G53" s="501"/>
    </row>
    <row r="54" spans="1:7" ht="15.75" thickBot="1" x14ac:dyDescent="0.3">
      <c r="A54" s="42" t="s">
        <v>212</v>
      </c>
      <c r="B54" s="498"/>
      <c r="C54" s="499"/>
      <c r="D54" s="43"/>
      <c r="E54" s="67">
        <f>SUM(E50:E53)</f>
        <v>0</v>
      </c>
      <c r="F54" s="498"/>
      <c r="G54" s="525"/>
    </row>
    <row r="55" spans="1:7" ht="9" customHeight="1" thickTop="1" x14ac:dyDescent="0.25">
      <c r="A55" s="11"/>
      <c r="B55" s="47"/>
      <c r="C55" s="47"/>
      <c r="D55" s="47"/>
      <c r="E55" s="47"/>
      <c r="F55" s="47"/>
      <c r="G55" s="47"/>
    </row>
    <row r="56" spans="1:7" ht="9" customHeight="1" thickBot="1" x14ac:dyDescent="0.3">
      <c r="A56" s="47"/>
      <c r="B56" s="47"/>
      <c r="C56" s="47"/>
      <c r="D56" s="47"/>
      <c r="E56" s="47"/>
      <c r="F56" s="47"/>
      <c r="G56" s="47"/>
    </row>
    <row r="57" spans="1:7" ht="19.5" thickTop="1" x14ac:dyDescent="0.25">
      <c r="A57" s="506" t="s">
        <v>279</v>
      </c>
      <c r="B57" s="507"/>
      <c r="C57" s="507"/>
      <c r="D57" s="507"/>
      <c r="E57" s="507"/>
      <c r="F57" s="507"/>
      <c r="G57" s="508"/>
    </row>
    <row r="58" spans="1:7" ht="28.5" customHeight="1" x14ac:dyDescent="0.25">
      <c r="A58" s="50" t="s">
        <v>251</v>
      </c>
      <c r="B58" s="39" t="s">
        <v>216</v>
      </c>
      <c r="C58" s="39" t="s">
        <v>252</v>
      </c>
      <c r="D58" s="39" t="s">
        <v>253</v>
      </c>
      <c r="E58" s="39" t="s">
        <v>254</v>
      </c>
      <c r="F58" s="39" t="s">
        <v>9</v>
      </c>
      <c r="G58" s="51" t="s">
        <v>255</v>
      </c>
    </row>
    <row r="59" spans="1:7" x14ac:dyDescent="0.25">
      <c r="A59" s="284"/>
      <c r="B59" s="291"/>
      <c r="C59" s="292"/>
      <c r="D59" s="285"/>
      <c r="E59" s="285"/>
      <c r="F59" s="65">
        <f>+D59*E59</f>
        <v>0</v>
      </c>
      <c r="G59" s="52"/>
    </row>
    <row r="60" spans="1:7" x14ac:dyDescent="0.25">
      <c r="A60" s="284"/>
      <c r="B60" s="291"/>
      <c r="C60" s="292"/>
      <c r="D60" s="285"/>
      <c r="E60" s="285"/>
      <c r="F60" s="65">
        <f>+D60*E60</f>
        <v>0</v>
      </c>
      <c r="G60" s="52"/>
    </row>
    <row r="61" spans="1:7" x14ac:dyDescent="0.25">
      <c r="A61" s="284"/>
      <c r="B61" s="291"/>
      <c r="C61" s="292"/>
      <c r="D61" s="285"/>
      <c r="E61" s="285"/>
      <c r="F61" s="65">
        <f>+D61*E61</f>
        <v>0</v>
      </c>
      <c r="G61" s="52"/>
    </row>
    <row r="62" spans="1:7" ht="15.75" thickBot="1" x14ac:dyDescent="0.3">
      <c r="A62" s="42" t="s">
        <v>212</v>
      </c>
      <c r="B62" s="43"/>
      <c r="C62" s="43"/>
      <c r="D62" s="43"/>
      <c r="E62" s="43"/>
      <c r="F62" s="67">
        <f>SUM(F59:F61)</f>
        <v>0</v>
      </c>
      <c r="G62" s="44"/>
    </row>
    <row r="63" spans="1:7" ht="9" customHeight="1" thickTop="1" x14ac:dyDescent="0.25">
      <c r="A63" s="47"/>
      <c r="B63" s="47"/>
      <c r="C63" s="47"/>
      <c r="D63" s="47"/>
      <c r="E63" s="47"/>
      <c r="F63" s="47"/>
      <c r="G63" s="47"/>
    </row>
    <row r="64" spans="1:7" ht="9" customHeight="1" thickBot="1" x14ac:dyDescent="0.3">
      <c r="A64" s="47"/>
      <c r="B64" s="47"/>
      <c r="C64" s="47"/>
      <c r="D64" s="47"/>
      <c r="E64" s="47"/>
      <c r="F64" s="47"/>
      <c r="G64" s="47"/>
    </row>
    <row r="65" spans="1:7" ht="19.5" thickTop="1" x14ac:dyDescent="0.25">
      <c r="A65" s="506" t="s">
        <v>276</v>
      </c>
      <c r="B65" s="507"/>
      <c r="C65" s="507"/>
      <c r="D65" s="507"/>
      <c r="E65" s="507"/>
      <c r="F65" s="507"/>
      <c r="G65" s="508"/>
    </row>
    <row r="66" spans="1:7" ht="20.25" customHeight="1" x14ac:dyDescent="0.25">
      <c r="A66" s="50" t="s">
        <v>251</v>
      </c>
      <c r="B66" s="39" t="s">
        <v>216</v>
      </c>
      <c r="C66" s="39" t="s">
        <v>252</v>
      </c>
      <c r="D66" s="39" t="s">
        <v>253</v>
      </c>
      <c r="E66" s="39" t="s">
        <v>254</v>
      </c>
      <c r="F66" s="39" t="s">
        <v>9</v>
      </c>
      <c r="G66" s="51" t="s">
        <v>255</v>
      </c>
    </row>
    <row r="67" spans="1:7" ht="18" customHeight="1" x14ac:dyDescent="0.25">
      <c r="A67" s="288"/>
      <c r="B67" s="288"/>
      <c r="C67" s="292"/>
      <c r="D67" s="285"/>
      <c r="E67" s="285"/>
      <c r="F67" s="65">
        <f>+D67*E67</f>
        <v>0</v>
      </c>
      <c r="G67" s="52"/>
    </row>
    <row r="68" spans="1:7" ht="18" customHeight="1" x14ac:dyDescent="0.25">
      <c r="A68" s="288"/>
      <c r="B68" s="288"/>
      <c r="C68" s="292"/>
      <c r="D68" s="285"/>
      <c r="E68" s="285"/>
      <c r="F68" s="65">
        <f>+D68*E68</f>
        <v>0</v>
      </c>
      <c r="G68" s="52"/>
    </row>
    <row r="69" spans="1:7" ht="18" customHeight="1" x14ac:dyDescent="0.25">
      <c r="A69" s="288"/>
      <c r="B69" s="288"/>
      <c r="C69" s="292"/>
      <c r="D69" s="285"/>
      <c r="E69" s="285"/>
      <c r="F69" s="65">
        <f>+D69*E69</f>
        <v>0</v>
      </c>
      <c r="G69" s="52"/>
    </row>
    <row r="70" spans="1:7" ht="18" customHeight="1" x14ac:dyDescent="0.25">
      <c r="A70" s="288"/>
      <c r="B70" s="288"/>
      <c r="C70" s="292"/>
      <c r="D70" s="285"/>
      <c r="E70" s="285"/>
      <c r="F70" s="65">
        <f>+D70*E70</f>
        <v>0</v>
      </c>
      <c r="G70" s="52"/>
    </row>
    <row r="71" spans="1:7" ht="16.5" customHeight="1" x14ac:dyDescent="0.25">
      <c r="A71" s="288"/>
      <c r="B71" s="288"/>
      <c r="C71" s="293"/>
      <c r="D71" s="285"/>
      <c r="E71" s="285"/>
      <c r="F71" s="65">
        <f>+D71*E71</f>
        <v>0</v>
      </c>
      <c r="G71" s="52"/>
    </row>
    <row r="72" spans="1:7" ht="15.75" thickBot="1" x14ac:dyDescent="0.3">
      <c r="A72" s="42" t="s">
        <v>212</v>
      </c>
      <c r="B72" s="43"/>
      <c r="C72" s="43"/>
      <c r="D72" s="43"/>
      <c r="E72" s="43"/>
      <c r="F72" s="67">
        <f>SUM(F67:F71)</f>
        <v>0</v>
      </c>
      <c r="G72" s="44"/>
    </row>
    <row r="73" spans="1:7" ht="9" customHeight="1" thickTop="1" x14ac:dyDescent="0.25">
      <c r="A73" s="47"/>
      <c r="B73" s="47"/>
      <c r="C73" s="47"/>
      <c r="D73" s="47"/>
      <c r="E73" s="47"/>
      <c r="F73" s="47"/>
      <c r="G73" s="47"/>
    </row>
    <row r="74" spans="1:7" ht="9" customHeight="1" thickBot="1" x14ac:dyDescent="0.3">
      <c r="A74" s="47"/>
      <c r="B74" s="47"/>
      <c r="C74" s="47"/>
      <c r="D74" s="47"/>
      <c r="E74" s="47"/>
      <c r="F74" s="47"/>
      <c r="G74" s="47"/>
    </row>
    <row r="75" spans="1:7" ht="19.5" thickTop="1" x14ac:dyDescent="0.25">
      <c r="A75" s="506" t="s">
        <v>277</v>
      </c>
      <c r="B75" s="507"/>
      <c r="C75" s="507"/>
      <c r="D75" s="507"/>
      <c r="E75" s="507"/>
      <c r="F75" s="507"/>
      <c r="G75" s="508"/>
    </row>
    <row r="76" spans="1:7" ht="22.5" x14ac:dyDescent="0.25">
      <c r="A76" s="50" t="s">
        <v>216</v>
      </c>
      <c r="B76" s="39" t="s">
        <v>256</v>
      </c>
      <c r="C76" s="39" t="s">
        <v>257</v>
      </c>
      <c r="D76" s="39" t="s">
        <v>258</v>
      </c>
      <c r="E76" s="39" t="s">
        <v>259</v>
      </c>
      <c r="F76" s="39" t="s">
        <v>9</v>
      </c>
      <c r="G76" s="51" t="s">
        <v>255</v>
      </c>
    </row>
    <row r="77" spans="1:7" x14ac:dyDescent="0.25">
      <c r="A77" s="284"/>
      <c r="B77" s="291"/>
      <c r="C77" s="291"/>
      <c r="D77" s="285"/>
      <c r="E77" s="285"/>
      <c r="F77" s="65">
        <f>+D77*E77</f>
        <v>0</v>
      </c>
      <c r="G77" s="52"/>
    </row>
    <row r="78" spans="1:7" x14ac:dyDescent="0.25">
      <c r="A78" s="284"/>
      <c r="B78" s="291"/>
      <c r="C78" s="291"/>
      <c r="D78" s="285"/>
      <c r="E78" s="285"/>
      <c r="F78" s="65">
        <f>+D78*E78</f>
        <v>0</v>
      </c>
      <c r="G78" s="52"/>
    </row>
    <row r="79" spans="1:7" x14ac:dyDescent="0.25">
      <c r="A79" s="284"/>
      <c r="B79" s="291"/>
      <c r="C79" s="291"/>
      <c r="D79" s="285"/>
      <c r="E79" s="285"/>
      <c r="F79" s="65">
        <f>+D79*E79</f>
        <v>0</v>
      </c>
      <c r="G79" s="52"/>
    </row>
    <row r="80" spans="1:7" ht="15.75" thickBot="1" x14ac:dyDescent="0.3">
      <c r="A80" s="42" t="s">
        <v>212</v>
      </c>
      <c r="B80" s="43"/>
      <c r="C80" s="43"/>
      <c r="D80" s="43"/>
      <c r="E80" s="43"/>
      <c r="F80" s="67">
        <f>SUM(F77:F79)</f>
        <v>0</v>
      </c>
      <c r="G80" s="44"/>
    </row>
    <row r="81" spans="1:7" ht="9" customHeight="1" thickTop="1" x14ac:dyDescent="0.25">
      <c r="A81" s="47"/>
      <c r="B81" s="47"/>
      <c r="C81" s="47"/>
      <c r="D81" s="47"/>
      <c r="E81" s="47"/>
      <c r="F81" s="47"/>
      <c r="G81" s="47"/>
    </row>
    <row r="82" spans="1:7" ht="9" customHeight="1" thickBot="1" x14ac:dyDescent="0.3">
      <c r="A82" s="47"/>
      <c r="B82" s="47"/>
      <c r="C82" s="47"/>
      <c r="D82" s="47"/>
      <c r="E82" s="47"/>
      <c r="F82" s="47"/>
      <c r="G82" s="47"/>
    </row>
    <row r="83" spans="1:7" ht="19.5" thickTop="1" x14ac:dyDescent="0.25">
      <c r="A83" s="506" t="s">
        <v>278</v>
      </c>
      <c r="B83" s="507"/>
      <c r="C83" s="507"/>
      <c r="D83" s="507"/>
      <c r="E83" s="507"/>
      <c r="F83" s="507"/>
      <c r="G83" s="508"/>
    </row>
    <row r="84" spans="1:7" ht="22.5" x14ac:dyDescent="0.25">
      <c r="A84" s="50" t="s">
        <v>216</v>
      </c>
      <c r="B84" s="39" t="s">
        <v>256</v>
      </c>
      <c r="C84" s="39" t="s">
        <v>257</v>
      </c>
      <c r="D84" s="39" t="s">
        <v>258</v>
      </c>
      <c r="E84" s="39" t="s">
        <v>259</v>
      </c>
      <c r="F84" s="39" t="s">
        <v>9</v>
      </c>
      <c r="G84" s="51" t="s">
        <v>214</v>
      </c>
    </row>
    <row r="85" spans="1:7" x14ac:dyDescent="0.25">
      <c r="A85" s="284"/>
      <c r="B85" s="291"/>
      <c r="C85" s="291"/>
      <c r="D85" s="285"/>
      <c r="E85" s="285"/>
      <c r="F85" s="65">
        <f>+D85*E85</f>
        <v>0</v>
      </c>
      <c r="G85" s="52"/>
    </row>
    <row r="86" spans="1:7" x14ac:dyDescent="0.25">
      <c r="A86" s="284"/>
      <c r="B86" s="291"/>
      <c r="C86" s="291"/>
      <c r="D86" s="285"/>
      <c r="E86" s="285"/>
      <c r="F86" s="65">
        <f>+D86*E86</f>
        <v>0</v>
      </c>
      <c r="G86" s="52"/>
    </row>
    <row r="87" spans="1:7" x14ac:dyDescent="0.25">
      <c r="A87" s="284"/>
      <c r="B87" s="292"/>
      <c r="C87" s="294"/>
      <c r="D87" s="285"/>
      <c r="E87" s="285"/>
      <c r="F87" s="65">
        <f>+D87*E87</f>
        <v>0</v>
      </c>
      <c r="G87" s="52"/>
    </row>
    <row r="88" spans="1:7" ht="15.75" thickBot="1" x14ac:dyDescent="0.3">
      <c r="A88" s="42" t="s">
        <v>212</v>
      </c>
      <c r="B88" s="43"/>
      <c r="C88" s="43"/>
      <c r="D88" s="43"/>
      <c r="E88" s="43"/>
      <c r="F88" s="67">
        <f>SUM(F85:F87)</f>
        <v>0</v>
      </c>
      <c r="G88" s="44"/>
    </row>
    <row r="89" spans="1:7" ht="9" customHeight="1" thickTop="1" x14ac:dyDescent="0.25">
      <c r="A89" s="47"/>
      <c r="B89" s="47"/>
      <c r="C89" s="47"/>
      <c r="D89" s="47"/>
      <c r="E89" s="47"/>
      <c r="F89" s="47"/>
      <c r="G89" s="47"/>
    </row>
    <row r="90" spans="1:7" ht="9" customHeight="1" thickBot="1" x14ac:dyDescent="0.3">
      <c r="A90" s="47"/>
      <c r="B90" s="47"/>
      <c r="C90" s="47"/>
      <c r="D90" s="47"/>
      <c r="E90" s="47"/>
      <c r="F90" s="47"/>
      <c r="G90" s="47"/>
    </row>
    <row r="91" spans="1:7" ht="19.5" thickTop="1" x14ac:dyDescent="0.25">
      <c r="A91" s="506" t="s">
        <v>280</v>
      </c>
      <c r="B91" s="507"/>
      <c r="C91" s="507"/>
      <c r="D91" s="507"/>
      <c r="E91" s="507"/>
      <c r="F91" s="507"/>
      <c r="G91" s="508"/>
    </row>
    <row r="92" spans="1:7" ht="24" customHeight="1" x14ac:dyDescent="0.25">
      <c r="A92" s="50" t="s">
        <v>216</v>
      </c>
      <c r="B92" s="39" t="s">
        <v>260</v>
      </c>
      <c r="C92" s="39" t="s">
        <v>261</v>
      </c>
      <c r="D92" s="39" t="s">
        <v>262</v>
      </c>
      <c r="E92" s="39" t="s">
        <v>213</v>
      </c>
      <c r="F92" s="39" t="s">
        <v>9</v>
      </c>
      <c r="G92" s="51" t="s">
        <v>214</v>
      </c>
    </row>
    <row r="93" spans="1:7" x14ac:dyDescent="0.25">
      <c r="A93" s="284" t="s">
        <v>392</v>
      </c>
      <c r="B93" s="291"/>
      <c r="C93" s="291"/>
      <c r="D93" s="145">
        <f>SUM(D59:D61)</f>
        <v>0</v>
      </c>
      <c r="E93" s="285">
        <v>120000</v>
      </c>
      <c r="F93" s="65">
        <f>+E93*D93</f>
        <v>0</v>
      </c>
      <c r="G93" s="52" t="s">
        <v>368</v>
      </c>
    </row>
    <row r="94" spans="1:7" x14ac:dyDescent="0.25">
      <c r="A94" s="284"/>
      <c r="B94" s="291"/>
      <c r="C94" s="291"/>
      <c r="D94" s="285"/>
      <c r="E94" s="285"/>
      <c r="F94" s="65">
        <f>+E94*D94</f>
        <v>0</v>
      </c>
      <c r="G94" s="52"/>
    </row>
    <row r="95" spans="1:7" x14ac:dyDescent="0.25">
      <c r="A95" s="284"/>
      <c r="B95" s="291"/>
      <c r="C95" s="291"/>
      <c r="D95" s="285"/>
      <c r="E95" s="285"/>
      <c r="F95" s="65">
        <f>+E95*D95</f>
        <v>0</v>
      </c>
      <c r="G95" s="52"/>
    </row>
    <row r="96" spans="1:7" ht="15.75" thickBot="1" x14ac:dyDescent="0.3">
      <c r="A96" s="42" t="s">
        <v>212</v>
      </c>
      <c r="B96" s="43"/>
      <c r="C96" s="43"/>
      <c r="D96" s="43"/>
      <c r="E96" s="43"/>
      <c r="F96" s="67">
        <f>SUM(F93:F95)</f>
        <v>0</v>
      </c>
      <c r="G96" s="44"/>
    </row>
    <row r="97" spans="1:7" ht="9" customHeight="1" thickTop="1" x14ac:dyDescent="0.25">
      <c r="A97" s="11"/>
      <c r="B97" s="47"/>
      <c r="C97" s="47"/>
      <c r="D97" s="47"/>
      <c r="E97" s="47"/>
      <c r="F97" s="47"/>
      <c r="G97" s="47"/>
    </row>
    <row r="98" spans="1:7" ht="9" customHeight="1" thickBot="1" x14ac:dyDescent="0.3">
      <c r="A98" s="47"/>
      <c r="B98" s="47"/>
      <c r="C98" s="47"/>
      <c r="D98" s="47"/>
      <c r="E98" s="47"/>
      <c r="F98" s="47"/>
      <c r="G98" s="47"/>
    </row>
    <row r="99" spans="1:7" ht="19.5" thickTop="1" x14ac:dyDescent="0.25">
      <c r="A99" s="506" t="s">
        <v>281</v>
      </c>
      <c r="B99" s="507"/>
      <c r="C99" s="507"/>
      <c r="D99" s="507"/>
      <c r="E99" s="507"/>
      <c r="F99" s="507"/>
      <c r="G99" s="508"/>
    </row>
    <row r="100" spans="1:7" ht="25.5" customHeight="1" x14ac:dyDescent="0.25">
      <c r="A100" s="50" t="s">
        <v>216</v>
      </c>
      <c r="B100" s="39" t="s">
        <v>260</v>
      </c>
      <c r="C100" s="39" t="s">
        <v>261</v>
      </c>
      <c r="D100" s="39" t="s">
        <v>262</v>
      </c>
      <c r="E100" s="39" t="s">
        <v>213</v>
      </c>
      <c r="F100" s="39" t="s">
        <v>9</v>
      </c>
      <c r="G100" s="51" t="s">
        <v>214</v>
      </c>
    </row>
    <row r="101" spans="1:7" x14ac:dyDescent="0.25">
      <c r="A101" s="284" t="s">
        <v>393</v>
      </c>
      <c r="B101" s="291"/>
      <c r="C101" s="291"/>
      <c r="D101" s="145">
        <f>SUM(D67:D71)</f>
        <v>0</v>
      </c>
      <c r="E101" s="285">
        <v>120000</v>
      </c>
      <c r="F101" s="65">
        <f>+E101*D101</f>
        <v>0</v>
      </c>
      <c r="G101" s="52" t="s">
        <v>368</v>
      </c>
    </row>
    <row r="102" spans="1:7" x14ac:dyDescent="0.25">
      <c r="A102" s="284"/>
      <c r="B102" s="291"/>
      <c r="C102" s="291"/>
      <c r="D102" s="285"/>
      <c r="E102" s="285"/>
      <c r="F102" s="65">
        <f>+E102*D102</f>
        <v>0</v>
      </c>
      <c r="G102" s="52"/>
    </row>
    <row r="103" spans="1:7" x14ac:dyDescent="0.25">
      <c r="A103" s="284"/>
      <c r="B103" s="291"/>
      <c r="C103" s="291"/>
      <c r="D103" s="285"/>
      <c r="E103" s="285"/>
      <c r="F103" s="65">
        <f>+E103*D103</f>
        <v>0</v>
      </c>
      <c r="G103" s="52"/>
    </row>
    <row r="104" spans="1:7" ht="15.75" thickBot="1" x14ac:dyDescent="0.3">
      <c r="A104" s="42" t="s">
        <v>212</v>
      </c>
      <c r="B104" s="43"/>
      <c r="C104" s="43"/>
      <c r="D104" s="43"/>
      <c r="E104" s="43"/>
      <c r="F104" s="67">
        <f>SUM(F101:F103)</f>
        <v>0</v>
      </c>
      <c r="G104" s="44"/>
    </row>
    <row r="105" spans="1:7" ht="9" customHeight="1" thickTop="1" x14ac:dyDescent="0.25">
      <c r="A105" s="11"/>
      <c r="B105" s="47"/>
      <c r="C105" s="47"/>
      <c r="D105" s="47"/>
      <c r="E105" s="47"/>
      <c r="F105" s="47"/>
      <c r="G105" s="47"/>
    </row>
    <row r="106" spans="1:7" ht="9" customHeight="1" thickBot="1" x14ac:dyDescent="0.3">
      <c r="A106" s="47"/>
      <c r="B106" s="47"/>
      <c r="C106" s="47"/>
      <c r="D106" s="47"/>
      <c r="E106" s="47"/>
      <c r="F106" s="47"/>
      <c r="G106" s="47"/>
    </row>
    <row r="107" spans="1:7" ht="19.5" thickTop="1" x14ac:dyDescent="0.3">
      <c r="A107" s="516" t="s">
        <v>282</v>
      </c>
      <c r="B107" s="517"/>
      <c r="C107" s="517"/>
      <c r="D107" s="517"/>
      <c r="E107" s="517"/>
      <c r="F107" s="517"/>
      <c r="G107" s="518"/>
    </row>
    <row r="108" spans="1:7" ht="22.5" customHeight="1" x14ac:dyDescent="0.25">
      <c r="A108" s="50" t="s">
        <v>8</v>
      </c>
      <c r="B108" s="39" t="s">
        <v>216</v>
      </c>
      <c r="C108" s="39" t="s">
        <v>261</v>
      </c>
      <c r="D108" s="39" t="s">
        <v>263</v>
      </c>
      <c r="E108" s="39" t="s">
        <v>264</v>
      </c>
      <c r="F108" s="39" t="s">
        <v>9</v>
      </c>
      <c r="G108" s="51" t="s">
        <v>214</v>
      </c>
    </row>
    <row r="109" spans="1:7" x14ac:dyDescent="0.25">
      <c r="A109" s="284"/>
      <c r="B109" s="291"/>
      <c r="C109" s="291"/>
      <c r="D109" s="285"/>
      <c r="E109" s="285"/>
      <c r="F109" s="65">
        <f>+D109*E109</f>
        <v>0</v>
      </c>
      <c r="G109" s="526" t="s">
        <v>265</v>
      </c>
    </row>
    <row r="110" spans="1:7" x14ac:dyDescent="0.25">
      <c r="A110" s="284"/>
      <c r="B110" s="291"/>
      <c r="C110" s="291"/>
      <c r="D110" s="285"/>
      <c r="E110" s="285"/>
      <c r="F110" s="65">
        <f>+D110*E110</f>
        <v>0</v>
      </c>
      <c r="G110" s="527"/>
    </row>
    <row r="111" spans="1:7" x14ac:dyDescent="0.25">
      <c r="A111" s="284"/>
      <c r="B111" s="285"/>
      <c r="C111" s="291"/>
      <c r="D111" s="285"/>
      <c r="E111" s="285"/>
      <c r="F111" s="65">
        <f>+D111*E111</f>
        <v>0</v>
      </c>
      <c r="G111" s="527"/>
    </row>
    <row r="112" spans="1:7" ht="15.75" thickBot="1" x14ac:dyDescent="0.3">
      <c r="A112" s="42" t="s">
        <v>212</v>
      </c>
      <c r="B112" s="43"/>
      <c r="C112" s="43"/>
      <c r="D112" s="43"/>
      <c r="E112" s="53"/>
      <c r="F112" s="69">
        <f>SUM(F109:F111)</f>
        <v>0</v>
      </c>
      <c r="G112" s="54"/>
    </row>
    <row r="113" spans="1:7" ht="9" customHeight="1" thickTop="1" x14ac:dyDescent="0.25">
      <c r="A113" s="47"/>
      <c r="B113" s="47"/>
      <c r="C113" s="47"/>
      <c r="D113" s="47"/>
      <c r="E113" s="47"/>
      <c r="F113" s="47"/>
      <c r="G113" s="47"/>
    </row>
    <row r="114" spans="1:7" ht="9" customHeight="1" thickBot="1" x14ac:dyDescent="0.3">
      <c r="A114" s="47"/>
      <c r="B114" s="47"/>
      <c r="C114" s="47"/>
      <c r="D114" s="47"/>
      <c r="E114" s="47"/>
      <c r="F114" s="47"/>
      <c r="G114" s="47"/>
    </row>
    <row r="115" spans="1:7" ht="19.5" thickTop="1" x14ac:dyDescent="0.3">
      <c r="A115" s="516" t="s">
        <v>283</v>
      </c>
      <c r="B115" s="517"/>
      <c r="C115" s="517"/>
      <c r="D115" s="517"/>
      <c r="E115" s="517"/>
      <c r="F115" s="517"/>
      <c r="G115" s="518"/>
    </row>
    <row r="116" spans="1:7" x14ac:dyDescent="0.25">
      <c r="A116" s="50" t="s">
        <v>8</v>
      </c>
      <c r="B116" s="39" t="s">
        <v>216</v>
      </c>
      <c r="C116" s="39" t="s">
        <v>261</v>
      </c>
      <c r="D116" s="39" t="s">
        <v>263</v>
      </c>
      <c r="E116" s="39" t="s">
        <v>264</v>
      </c>
      <c r="F116" s="39" t="s">
        <v>9</v>
      </c>
      <c r="G116" s="51" t="s">
        <v>214</v>
      </c>
    </row>
    <row r="117" spans="1:7" x14ac:dyDescent="0.25">
      <c r="A117" s="284"/>
      <c r="B117" s="288"/>
      <c r="C117" s="288"/>
      <c r="D117" s="287"/>
      <c r="E117" s="287"/>
      <c r="F117" s="65">
        <f>+D117*E117</f>
        <v>0</v>
      </c>
      <c r="G117" s="526" t="s">
        <v>265</v>
      </c>
    </row>
    <row r="118" spans="1:7" x14ac:dyDescent="0.25">
      <c r="A118" s="284"/>
      <c r="B118" s="287"/>
      <c r="C118" s="288"/>
      <c r="D118" s="287"/>
      <c r="E118" s="287"/>
      <c r="F118" s="65">
        <f>+D118*E118</f>
        <v>0</v>
      </c>
      <c r="G118" s="527"/>
    </row>
    <row r="119" spans="1:7" ht="15.75" thickBot="1" x14ac:dyDescent="0.3">
      <c r="A119" s="42" t="s">
        <v>212</v>
      </c>
      <c r="B119" s="43"/>
      <c r="C119" s="43"/>
      <c r="D119" s="43"/>
      <c r="E119" s="53"/>
      <c r="F119" s="69">
        <f>SUM(F117:F118)</f>
        <v>0</v>
      </c>
      <c r="G119" s="54"/>
    </row>
    <row r="120" spans="1:7" ht="9" customHeight="1" thickTop="1" x14ac:dyDescent="0.25">
      <c r="A120" s="47"/>
      <c r="B120" s="47"/>
      <c r="C120" s="47"/>
      <c r="D120" s="47"/>
      <c r="E120" s="47"/>
      <c r="F120" s="47"/>
      <c r="G120" s="47"/>
    </row>
    <row r="121" spans="1:7" ht="9" customHeight="1" thickBot="1" x14ac:dyDescent="0.3">
      <c r="A121" s="47"/>
      <c r="B121" s="47"/>
      <c r="C121" s="47"/>
      <c r="D121" s="47"/>
      <c r="E121" s="47"/>
      <c r="F121" s="47"/>
      <c r="G121" s="47"/>
    </row>
    <row r="122" spans="1:7" ht="19.5" thickTop="1" x14ac:dyDescent="0.25">
      <c r="A122" s="506" t="s">
        <v>222</v>
      </c>
      <c r="B122" s="507"/>
      <c r="C122" s="507"/>
      <c r="D122" s="507"/>
      <c r="E122" s="507"/>
      <c r="F122" s="507"/>
      <c r="G122" s="508"/>
    </row>
    <row r="123" spans="1:7" x14ac:dyDescent="0.25">
      <c r="A123" s="50"/>
      <c r="B123" s="39" t="s">
        <v>223</v>
      </c>
      <c r="C123" s="39" t="s">
        <v>224</v>
      </c>
      <c r="D123" s="39" t="s">
        <v>225</v>
      </c>
      <c r="E123" s="39" t="s">
        <v>226</v>
      </c>
      <c r="F123" s="39" t="s">
        <v>227</v>
      </c>
      <c r="G123" s="51" t="s">
        <v>216</v>
      </c>
    </row>
    <row r="124" spans="1:7" x14ac:dyDescent="0.25">
      <c r="A124" s="12" t="s">
        <v>32</v>
      </c>
      <c r="B124" s="291"/>
      <c r="C124" s="291"/>
      <c r="D124" s="285"/>
      <c r="E124" s="285"/>
      <c r="F124" s="65">
        <f>+C124*E124*D124</f>
        <v>0</v>
      </c>
      <c r="G124" s="52"/>
    </row>
    <row r="125" spans="1:7" x14ac:dyDescent="0.25">
      <c r="A125" s="12" t="s">
        <v>31</v>
      </c>
      <c r="B125" s="291"/>
      <c r="C125" s="291"/>
      <c r="D125" s="285"/>
      <c r="E125" s="285"/>
      <c r="F125" s="65">
        <f>+C125*E125*D125</f>
        <v>0</v>
      </c>
      <c r="G125" s="52"/>
    </row>
    <row r="126" spans="1:7" ht="15.75" thickBot="1" x14ac:dyDescent="0.3">
      <c r="A126" s="42" t="s">
        <v>212</v>
      </c>
      <c r="B126" s="43"/>
      <c r="C126" s="43"/>
      <c r="D126" s="43"/>
      <c r="E126" s="43"/>
      <c r="F126" s="67">
        <f>SUM(F124:F125)</f>
        <v>0</v>
      </c>
      <c r="G126" s="44"/>
    </row>
    <row r="127" spans="1:7" ht="9" customHeight="1" thickTop="1" x14ac:dyDescent="0.25">
      <c r="A127" s="47"/>
      <c r="B127" s="47"/>
      <c r="C127" s="47"/>
      <c r="D127" s="47"/>
      <c r="E127" s="47"/>
      <c r="F127" s="47"/>
      <c r="G127" s="47"/>
    </row>
    <row r="128" spans="1:7" ht="9" customHeight="1" thickBot="1" x14ac:dyDescent="0.3">
      <c r="A128" s="47"/>
      <c r="B128" s="47"/>
      <c r="C128" s="47"/>
      <c r="D128" s="47"/>
      <c r="E128" s="47"/>
      <c r="F128" s="47"/>
      <c r="G128" s="47"/>
    </row>
    <row r="129" spans="1:7" ht="19.5" thickTop="1" x14ac:dyDescent="0.25">
      <c r="A129" s="506" t="s">
        <v>284</v>
      </c>
      <c r="B129" s="507"/>
      <c r="C129" s="507"/>
      <c r="D129" s="507"/>
      <c r="E129" s="507"/>
      <c r="F129" s="507"/>
      <c r="G129" s="508"/>
    </row>
    <row r="130" spans="1:7" x14ac:dyDescent="0.25">
      <c r="A130" s="50" t="s">
        <v>8</v>
      </c>
      <c r="B130" s="39" t="s">
        <v>228</v>
      </c>
      <c r="C130" s="39" t="s">
        <v>225</v>
      </c>
      <c r="D130" s="39" t="s">
        <v>220</v>
      </c>
      <c r="E130" s="39" t="s">
        <v>229</v>
      </c>
      <c r="F130" s="39" t="s">
        <v>227</v>
      </c>
      <c r="G130" s="51"/>
    </row>
    <row r="131" spans="1:7" x14ac:dyDescent="0.25">
      <c r="A131" s="8" t="s">
        <v>423</v>
      </c>
      <c r="B131" s="285"/>
      <c r="C131" s="285"/>
      <c r="D131" s="285"/>
      <c r="E131" s="287"/>
      <c r="F131" s="65">
        <f>+C131*D131</f>
        <v>0</v>
      </c>
      <c r="G131" s="52"/>
    </row>
    <row r="132" spans="1:7" x14ac:dyDescent="0.25">
      <c r="A132" s="12" t="s">
        <v>339</v>
      </c>
      <c r="B132" s="285"/>
      <c r="C132" s="285"/>
      <c r="D132" s="285"/>
      <c r="E132" s="287"/>
      <c r="F132" s="65">
        <f>+C132*D132</f>
        <v>0</v>
      </c>
      <c r="G132" s="52"/>
    </row>
    <row r="133" spans="1:7" ht="15" customHeight="1" x14ac:dyDescent="0.25">
      <c r="A133" s="8" t="s">
        <v>44</v>
      </c>
      <c r="B133" s="285"/>
      <c r="C133" s="285"/>
      <c r="D133" s="285"/>
      <c r="E133" s="287"/>
      <c r="F133" s="65">
        <f>+C133*D133</f>
        <v>0</v>
      </c>
      <c r="G133" s="52"/>
    </row>
    <row r="134" spans="1:7" x14ac:dyDescent="0.25">
      <c r="A134" s="12" t="s">
        <v>147</v>
      </c>
      <c r="B134" s="285"/>
      <c r="C134" s="285"/>
      <c r="D134" s="285"/>
      <c r="E134" s="288"/>
      <c r="F134" s="65">
        <f>+C134*D134</f>
        <v>0</v>
      </c>
      <c r="G134" s="52"/>
    </row>
    <row r="135" spans="1:7" ht="15.75" thickBot="1" x14ac:dyDescent="0.3">
      <c r="A135" s="42" t="s">
        <v>212</v>
      </c>
      <c r="B135" s="43"/>
      <c r="C135" s="43"/>
      <c r="D135" s="43"/>
      <c r="E135" s="43"/>
      <c r="F135" s="67">
        <f>SUM(F131:F134)</f>
        <v>0</v>
      </c>
      <c r="G135" s="44"/>
    </row>
    <row r="136" spans="1:7" ht="9" customHeight="1" thickTop="1" x14ac:dyDescent="0.25">
      <c r="A136" s="47"/>
      <c r="B136" s="47"/>
      <c r="C136" s="47"/>
      <c r="D136" s="47"/>
      <c r="E136" s="47"/>
      <c r="F136" s="47"/>
      <c r="G136" s="47"/>
    </row>
    <row r="137" spans="1:7" ht="9" customHeight="1" thickBot="1" x14ac:dyDescent="0.3">
      <c r="A137" s="47"/>
      <c r="B137" s="47"/>
      <c r="C137" s="47"/>
      <c r="D137" s="47"/>
      <c r="E137" s="47"/>
      <c r="F137" s="47"/>
      <c r="G137" s="47"/>
    </row>
    <row r="138" spans="1:7" ht="19.5" thickTop="1" x14ac:dyDescent="0.25">
      <c r="A138" s="506" t="s">
        <v>230</v>
      </c>
      <c r="B138" s="507"/>
      <c r="C138" s="507"/>
      <c r="D138" s="507"/>
      <c r="E138" s="507"/>
      <c r="F138" s="507"/>
      <c r="G138" s="508"/>
    </row>
    <row r="139" spans="1:7" x14ac:dyDescent="0.25">
      <c r="A139" s="50"/>
      <c r="B139" s="39" t="s">
        <v>225</v>
      </c>
      <c r="C139" s="39" t="s">
        <v>231</v>
      </c>
      <c r="D139" s="39" t="s">
        <v>226</v>
      </c>
      <c r="E139" s="39" t="s">
        <v>212</v>
      </c>
      <c r="F139" s="514" t="s">
        <v>214</v>
      </c>
      <c r="G139" s="515"/>
    </row>
    <row r="140" spans="1:7" x14ac:dyDescent="0.25">
      <c r="A140" s="8" t="s">
        <v>16</v>
      </c>
      <c r="B140" s="291"/>
      <c r="C140" s="285"/>
      <c r="D140" s="285"/>
      <c r="E140" s="65">
        <f>(B140*C140)*D140</f>
        <v>0</v>
      </c>
      <c r="F140" s="502"/>
      <c r="G140" s="503"/>
    </row>
    <row r="141" spans="1:7" x14ac:dyDescent="0.25">
      <c r="A141" s="12" t="s">
        <v>17</v>
      </c>
      <c r="B141" s="295">
        <f>AVERAGE(INGRESOS!B42:C42)</f>
        <v>0</v>
      </c>
      <c r="C141" s="285">
        <v>6500</v>
      </c>
      <c r="D141" s="285">
        <v>12</v>
      </c>
      <c r="E141" s="65">
        <f>+B141*C141*D141</f>
        <v>0</v>
      </c>
      <c r="F141" s="502"/>
      <c r="G141" s="503"/>
    </row>
    <row r="142" spans="1:7" x14ac:dyDescent="0.25">
      <c r="A142" s="8" t="s">
        <v>18</v>
      </c>
      <c r="B142" s="291"/>
      <c r="C142" s="285"/>
      <c r="D142" s="285"/>
      <c r="E142" s="65">
        <f>(B142*C142)*D142</f>
        <v>0</v>
      </c>
      <c r="F142" s="502"/>
      <c r="G142" s="503"/>
    </row>
    <row r="143" spans="1:7" x14ac:dyDescent="0.25">
      <c r="A143" s="8" t="s">
        <v>19</v>
      </c>
      <c r="B143" s="291"/>
      <c r="C143" s="285"/>
      <c r="D143" s="285"/>
      <c r="E143" s="65">
        <f>(B143*C143)*D143</f>
        <v>0</v>
      </c>
      <c r="F143" s="502"/>
      <c r="G143" s="503"/>
    </row>
    <row r="144" spans="1:7" ht="15.75" thickBot="1" x14ac:dyDescent="0.3">
      <c r="A144" s="42" t="s">
        <v>212</v>
      </c>
      <c r="B144" s="43"/>
      <c r="C144" s="43"/>
      <c r="D144" s="43"/>
      <c r="E144" s="67">
        <f>SUM(E140:E143)</f>
        <v>0</v>
      </c>
      <c r="F144" s="498"/>
      <c r="G144" s="525"/>
    </row>
    <row r="145" spans="1:7" ht="9" customHeight="1" thickTop="1" x14ac:dyDescent="0.25">
      <c r="A145" s="47"/>
      <c r="B145" s="47"/>
      <c r="C145" s="47"/>
      <c r="D145" s="47"/>
      <c r="E145" s="47"/>
      <c r="F145" s="47"/>
      <c r="G145" s="47"/>
    </row>
    <row r="146" spans="1:7" ht="9" customHeight="1" thickBot="1" x14ac:dyDescent="0.3">
      <c r="A146" s="47"/>
      <c r="B146" s="47"/>
      <c r="C146" s="47"/>
      <c r="D146" s="47"/>
      <c r="E146" s="47"/>
      <c r="F146" s="47"/>
      <c r="G146" s="47"/>
    </row>
    <row r="147" spans="1:7" ht="18" thickTop="1" x14ac:dyDescent="0.25">
      <c r="A147" s="531" t="s">
        <v>232</v>
      </c>
      <c r="B147" s="532"/>
      <c r="C147" s="532"/>
      <c r="D147" s="532"/>
      <c r="E147" s="532"/>
      <c r="F147" s="532"/>
      <c r="G147" s="533"/>
    </row>
    <row r="148" spans="1:7" x14ac:dyDescent="0.25">
      <c r="A148" s="50" t="s">
        <v>8</v>
      </c>
      <c r="B148" s="39" t="s">
        <v>233</v>
      </c>
      <c r="C148" s="39" t="s">
        <v>234</v>
      </c>
      <c r="D148" s="39" t="s">
        <v>235</v>
      </c>
      <c r="E148" s="514" t="s">
        <v>236</v>
      </c>
      <c r="F148" s="534"/>
      <c r="G148" s="515"/>
    </row>
    <row r="149" spans="1:7" x14ac:dyDescent="0.25">
      <c r="A149" s="8" t="s">
        <v>148</v>
      </c>
      <c r="B149" s="285"/>
      <c r="C149" s="285"/>
      <c r="D149" s="65">
        <f>+B149*C149</f>
        <v>0</v>
      </c>
      <c r="E149" s="502"/>
      <c r="F149" s="511"/>
      <c r="G149" s="503"/>
    </row>
    <row r="150" spans="1:7" x14ac:dyDescent="0.25">
      <c r="A150" s="8" t="s">
        <v>22</v>
      </c>
      <c r="B150" s="285"/>
      <c r="C150" s="285"/>
      <c r="D150" s="65">
        <f t="shared" ref="D150:D158" si="2">+B150*C150</f>
        <v>0</v>
      </c>
      <c r="E150" s="502"/>
      <c r="F150" s="511"/>
      <c r="G150" s="503"/>
    </row>
    <row r="151" spans="1:7" x14ac:dyDescent="0.25">
      <c r="A151" s="8" t="s">
        <v>23</v>
      </c>
      <c r="B151" s="285"/>
      <c r="C151" s="285"/>
      <c r="D151" s="65">
        <f t="shared" si="2"/>
        <v>0</v>
      </c>
      <c r="E151" s="502"/>
      <c r="F151" s="511"/>
      <c r="G151" s="503"/>
    </row>
    <row r="152" spans="1:7" x14ac:dyDescent="0.25">
      <c r="A152" s="8" t="s">
        <v>24</v>
      </c>
      <c r="B152" s="285"/>
      <c r="C152" s="285"/>
      <c r="D152" s="65">
        <f t="shared" si="2"/>
        <v>0</v>
      </c>
      <c r="E152" s="502"/>
      <c r="F152" s="511"/>
      <c r="G152" s="503"/>
    </row>
    <row r="153" spans="1:7" x14ac:dyDescent="0.25">
      <c r="A153" s="8" t="s">
        <v>25</v>
      </c>
      <c r="B153" s="285"/>
      <c r="C153" s="285"/>
      <c r="D153" s="65">
        <f t="shared" si="2"/>
        <v>0</v>
      </c>
      <c r="E153" s="502"/>
      <c r="F153" s="511"/>
      <c r="G153" s="503"/>
    </row>
    <row r="154" spans="1:7" x14ac:dyDescent="0.25">
      <c r="A154" s="8" t="s">
        <v>149</v>
      </c>
      <c r="B154" s="285"/>
      <c r="C154" s="285"/>
      <c r="D154" s="65">
        <f t="shared" si="2"/>
        <v>0</v>
      </c>
      <c r="E154" s="502"/>
      <c r="F154" s="511"/>
      <c r="G154" s="503"/>
    </row>
    <row r="155" spans="1:7" x14ac:dyDescent="0.25">
      <c r="A155" s="8" t="s">
        <v>150</v>
      </c>
      <c r="B155" s="285"/>
      <c r="C155" s="285"/>
      <c r="D155" s="65">
        <f t="shared" si="2"/>
        <v>0</v>
      </c>
      <c r="E155" s="502"/>
      <c r="F155" s="511"/>
      <c r="G155" s="503"/>
    </row>
    <row r="156" spans="1:7" x14ac:dyDescent="0.25">
      <c r="A156" s="8" t="s">
        <v>21</v>
      </c>
      <c r="B156" s="285"/>
      <c r="C156" s="285"/>
      <c r="D156" s="65">
        <f t="shared" si="2"/>
        <v>0</v>
      </c>
      <c r="E156" s="502"/>
      <c r="F156" s="511"/>
      <c r="G156" s="503"/>
    </row>
    <row r="157" spans="1:7" x14ac:dyDescent="0.25">
      <c r="A157" s="8" t="s">
        <v>152</v>
      </c>
      <c r="B157" s="285"/>
      <c r="C157" s="285"/>
      <c r="D157" s="65">
        <f t="shared" si="2"/>
        <v>0</v>
      </c>
      <c r="E157" s="502"/>
      <c r="F157" s="511"/>
      <c r="G157" s="503"/>
    </row>
    <row r="158" spans="1:7" x14ac:dyDescent="0.25">
      <c r="A158" s="12" t="s">
        <v>285</v>
      </c>
      <c r="B158" s="285">
        <v>70000</v>
      </c>
      <c r="C158" s="145">
        <f>SUM(D59:D61)+SUM(D67:D71)</f>
        <v>0</v>
      </c>
      <c r="D158" s="65">
        <f t="shared" si="2"/>
        <v>0</v>
      </c>
      <c r="E158" s="502" t="s">
        <v>320</v>
      </c>
      <c r="F158" s="511"/>
      <c r="G158" s="503"/>
    </row>
    <row r="159" spans="1:7" ht="15.75" thickBot="1" x14ac:dyDescent="0.3">
      <c r="A159" s="42" t="s">
        <v>212</v>
      </c>
      <c r="B159" s="53"/>
      <c r="C159" s="53"/>
      <c r="D159" s="69">
        <f>SUM(D149:D158)</f>
        <v>0</v>
      </c>
      <c r="E159" s="512"/>
      <c r="F159" s="512"/>
      <c r="G159" s="513"/>
    </row>
    <row r="160" spans="1:7" ht="9" customHeight="1" thickTop="1" x14ac:dyDescent="0.25">
      <c r="A160" s="47"/>
      <c r="B160" s="47"/>
      <c r="C160" s="47"/>
      <c r="D160" s="47"/>
      <c r="E160" s="47"/>
      <c r="F160" s="47"/>
      <c r="G160" s="47"/>
    </row>
    <row r="161" spans="1:7" ht="9" customHeight="1" thickBot="1" x14ac:dyDescent="0.3">
      <c r="A161" s="47"/>
      <c r="B161" s="47"/>
      <c r="C161" s="47"/>
      <c r="D161" s="47"/>
      <c r="E161" s="47"/>
      <c r="F161" s="47"/>
      <c r="G161" s="47"/>
    </row>
    <row r="162" spans="1:7" ht="19.5" thickTop="1" x14ac:dyDescent="0.25">
      <c r="A162" s="479" t="s">
        <v>286</v>
      </c>
      <c r="B162" s="480"/>
      <c r="C162" s="480"/>
      <c r="D162" s="480"/>
      <c r="E162" s="480"/>
      <c r="F162" s="480"/>
      <c r="G162" s="481"/>
    </row>
    <row r="163" spans="1:7" ht="22.5" x14ac:dyDescent="0.25">
      <c r="A163" s="50" t="s">
        <v>8</v>
      </c>
      <c r="B163" s="39" t="s">
        <v>237</v>
      </c>
      <c r="C163" s="39" t="s">
        <v>238</v>
      </c>
      <c r="D163" s="39" t="s">
        <v>213</v>
      </c>
      <c r="E163" s="39" t="s">
        <v>9</v>
      </c>
      <c r="F163" s="514" t="s">
        <v>214</v>
      </c>
      <c r="G163" s="515"/>
    </row>
    <row r="164" spans="1:7" x14ac:dyDescent="0.25">
      <c r="A164" s="12" t="s">
        <v>424</v>
      </c>
      <c r="B164" s="288"/>
      <c r="C164" s="291"/>
      <c r="D164" s="285"/>
      <c r="E164" s="65">
        <f t="shared" ref="E164:E170" si="3">+D164*C164</f>
        <v>0</v>
      </c>
      <c r="F164" s="496"/>
      <c r="G164" s="497"/>
    </row>
    <row r="165" spans="1:7" x14ac:dyDescent="0.25">
      <c r="A165" s="12" t="s">
        <v>239</v>
      </c>
      <c r="B165" s="288"/>
      <c r="C165" s="291"/>
      <c r="D165" s="285"/>
      <c r="E165" s="65">
        <f t="shared" si="3"/>
        <v>0</v>
      </c>
      <c r="F165" s="496"/>
      <c r="G165" s="497"/>
    </row>
    <row r="166" spans="1:7" x14ac:dyDescent="0.25">
      <c r="A166" s="12" t="s">
        <v>240</v>
      </c>
      <c r="B166" s="288"/>
      <c r="C166" s="291"/>
      <c r="D166" s="285"/>
      <c r="E166" s="65">
        <f t="shared" si="3"/>
        <v>0</v>
      </c>
      <c r="F166" s="496"/>
      <c r="G166" s="497"/>
    </row>
    <row r="167" spans="1:7" x14ac:dyDescent="0.25">
      <c r="A167" s="12" t="s">
        <v>241</v>
      </c>
      <c r="B167" s="288"/>
      <c r="C167" s="291"/>
      <c r="D167" s="285"/>
      <c r="E167" s="65">
        <f t="shared" si="3"/>
        <v>0</v>
      </c>
      <c r="F167" s="496"/>
      <c r="G167" s="497"/>
    </row>
    <row r="168" spans="1:7" x14ac:dyDescent="0.25">
      <c r="A168" s="12" t="s">
        <v>242</v>
      </c>
      <c r="B168" s="288"/>
      <c r="C168" s="285"/>
      <c r="D168" s="285"/>
      <c r="E168" s="65">
        <f t="shared" si="3"/>
        <v>0</v>
      </c>
      <c r="F168" s="496"/>
      <c r="G168" s="497"/>
    </row>
    <row r="169" spans="1:7" x14ac:dyDescent="0.25">
      <c r="A169" s="12" t="s">
        <v>243</v>
      </c>
      <c r="B169" s="288"/>
      <c r="C169" s="285"/>
      <c r="D169" s="285"/>
      <c r="E169" s="65">
        <f t="shared" si="3"/>
        <v>0</v>
      </c>
      <c r="F169" s="496"/>
      <c r="G169" s="497"/>
    </row>
    <row r="170" spans="1:7" x14ac:dyDescent="0.25">
      <c r="A170" s="12" t="s">
        <v>313</v>
      </c>
      <c r="B170" s="296"/>
      <c r="C170" s="297"/>
      <c r="D170" s="297"/>
      <c r="E170" s="65">
        <f t="shared" si="3"/>
        <v>0</v>
      </c>
      <c r="F170" s="496"/>
      <c r="G170" s="497"/>
    </row>
    <row r="171" spans="1:7" ht="15.75" thickBot="1" x14ac:dyDescent="0.3">
      <c r="A171" s="42" t="s">
        <v>212</v>
      </c>
      <c r="B171" s="43"/>
      <c r="C171" s="43"/>
      <c r="D171" s="43"/>
      <c r="E171" s="67">
        <f>SUM(E164:E170)</f>
        <v>0</v>
      </c>
      <c r="F171" s="498"/>
      <c r="G171" s="525"/>
    </row>
    <row r="172" spans="1:7" ht="9" customHeight="1" thickTop="1" x14ac:dyDescent="0.25">
      <c r="A172" s="47"/>
      <c r="B172" s="47"/>
      <c r="C172" s="47"/>
      <c r="D172" s="47"/>
      <c r="E172" s="47"/>
      <c r="F172" s="47"/>
      <c r="G172" s="47"/>
    </row>
    <row r="173" spans="1:7" ht="9" customHeight="1" thickBot="1" x14ac:dyDescent="0.3">
      <c r="A173" s="47"/>
      <c r="B173" s="47"/>
      <c r="C173" s="47"/>
      <c r="D173" s="47"/>
      <c r="E173" s="47"/>
      <c r="F173" s="47"/>
      <c r="G173" s="47"/>
    </row>
    <row r="174" spans="1:7" ht="19.5" thickTop="1" x14ac:dyDescent="0.25">
      <c r="A174" s="506" t="s">
        <v>244</v>
      </c>
      <c r="B174" s="507"/>
      <c r="C174" s="507"/>
      <c r="D174" s="507"/>
      <c r="E174" s="507"/>
      <c r="F174" s="507"/>
      <c r="G174" s="508"/>
    </row>
    <row r="175" spans="1:7" x14ac:dyDescent="0.25">
      <c r="A175" s="50" t="s">
        <v>8</v>
      </c>
      <c r="B175" s="514" t="s">
        <v>245</v>
      </c>
      <c r="C175" s="528"/>
      <c r="D175" s="39" t="s">
        <v>225</v>
      </c>
      <c r="E175" s="39" t="s">
        <v>220</v>
      </c>
      <c r="F175" s="39" t="s">
        <v>212</v>
      </c>
      <c r="G175" s="55" t="s">
        <v>214</v>
      </c>
    </row>
    <row r="176" spans="1:7" x14ac:dyDescent="0.25">
      <c r="A176" s="12" t="s">
        <v>27</v>
      </c>
      <c r="B176" s="504"/>
      <c r="C176" s="505"/>
      <c r="D176" s="285"/>
      <c r="E176" s="285"/>
      <c r="F176" s="65">
        <f>E176*D176</f>
        <v>0</v>
      </c>
      <c r="G176" s="52"/>
    </row>
    <row r="177" spans="1:7" x14ac:dyDescent="0.25">
      <c r="A177" s="12" t="s">
        <v>246</v>
      </c>
      <c r="B177" s="504"/>
      <c r="C177" s="505"/>
      <c r="D177" s="285"/>
      <c r="E177" s="285"/>
      <c r="F177" s="65">
        <f>E177*D177</f>
        <v>0</v>
      </c>
      <c r="G177" s="52"/>
    </row>
    <row r="178" spans="1:7" ht="48.75" customHeight="1" x14ac:dyDescent="0.25">
      <c r="A178" s="13" t="s">
        <v>247</v>
      </c>
      <c r="B178" s="529" t="s">
        <v>353</v>
      </c>
      <c r="C178" s="530"/>
      <c r="D178" s="153">
        <v>1</v>
      </c>
      <c r="E178" s="298">
        <f>12*1750905</f>
        <v>21010860</v>
      </c>
      <c r="F178" s="143">
        <f>E178*D178</f>
        <v>21010860</v>
      </c>
      <c r="G178" s="144"/>
    </row>
    <row r="179" spans="1:7" ht="15.75" thickBot="1" x14ac:dyDescent="0.3">
      <c r="A179" s="42" t="s">
        <v>212</v>
      </c>
      <c r="B179" s="53"/>
      <c r="C179" s="56"/>
      <c r="D179" s="43"/>
      <c r="E179" s="43"/>
      <c r="F179" s="67">
        <f>SUM(F176:F178)</f>
        <v>21010860</v>
      </c>
      <c r="G179" s="44"/>
    </row>
    <row r="180" spans="1:7" ht="9" customHeight="1" thickTop="1" x14ac:dyDescent="0.25">
      <c r="A180" s="47"/>
      <c r="B180" s="47"/>
      <c r="C180" s="47"/>
      <c r="D180" s="47"/>
      <c r="E180" s="47"/>
      <c r="F180" s="47"/>
      <c r="G180" s="47"/>
    </row>
    <row r="181" spans="1:7" ht="9" customHeight="1" thickBot="1" x14ac:dyDescent="0.3">
      <c r="A181" s="47"/>
      <c r="B181" s="47"/>
      <c r="C181" s="47"/>
      <c r="D181" s="47"/>
      <c r="E181" s="47"/>
      <c r="F181" s="47"/>
      <c r="G181" s="47"/>
    </row>
    <row r="182" spans="1:7" ht="19.5" thickTop="1" x14ac:dyDescent="0.3">
      <c r="A182" s="516" t="s">
        <v>248</v>
      </c>
      <c r="B182" s="517"/>
      <c r="C182" s="517"/>
      <c r="D182" s="517"/>
      <c r="E182" s="517"/>
      <c r="F182" s="517"/>
      <c r="G182" s="518"/>
    </row>
    <row r="183" spans="1:7" x14ac:dyDescent="0.25">
      <c r="A183" s="57" t="s">
        <v>8</v>
      </c>
      <c r="B183" s="58" t="s">
        <v>216</v>
      </c>
      <c r="C183" s="58" t="s">
        <v>225</v>
      </c>
      <c r="D183" s="58" t="s">
        <v>213</v>
      </c>
      <c r="E183" s="58" t="s">
        <v>9</v>
      </c>
      <c r="F183" s="519" t="s">
        <v>214</v>
      </c>
      <c r="G183" s="520"/>
    </row>
    <row r="184" spans="1:7" x14ac:dyDescent="0.25">
      <c r="A184" s="8" t="s">
        <v>31</v>
      </c>
      <c r="B184" s="287"/>
      <c r="C184" s="287"/>
      <c r="D184" s="287"/>
      <c r="E184" s="65">
        <f>+C184*D184</f>
        <v>0</v>
      </c>
      <c r="F184" s="521" t="s">
        <v>249</v>
      </c>
      <c r="G184" s="522"/>
    </row>
    <row r="185" spans="1:7" x14ac:dyDescent="0.25">
      <c r="A185" s="8" t="s">
        <v>32</v>
      </c>
      <c r="B185" s="287"/>
      <c r="C185" s="287"/>
      <c r="D185" s="287"/>
      <c r="E185" s="65">
        <f t="shared" ref="E185:E191" si="4">+C185*D185</f>
        <v>0</v>
      </c>
      <c r="F185" s="523"/>
      <c r="G185" s="524"/>
    </row>
    <row r="186" spans="1:7" x14ac:dyDescent="0.25">
      <c r="A186" s="8" t="s">
        <v>33</v>
      </c>
      <c r="B186" s="287"/>
      <c r="C186" s="287"/>
      <c r="D186" s="287"/>
      <c r="E186" s="65">
        <f t="shared" si="4"/>
        <v>0</v>
      </c>
      <c r="F186" s="523"/>
      <c r="G186" s="524"/>
    </row>
    <row r="187" spans="1:7" ht="17.25" customHeight="1" x14ac:dyDescent="0.25">
      <c r="A187" s="8" t="s">
        <v>34</v>
      </c>
      <c r="B187" s="285"/>
      <c r="C187" s="287"/>
      <c r="D187" s="287"/>
      <c r="E187" s="65">
        <f t="shared" si="4"/>
        <v>0</v>
      </c>
      <c r="F187" s="523"/>
      <c r="G187" s="524"/>
    </row>
    <row r="188" spans="1:7" x14ac:dyDescent="0.25">
      <c r="A188" s="8" t="s">
        <v>35</v>
      </c>
      <c r="B188" s="287"/>
      <c r="C188" s="287"/>
      <c r="D188" s="287"/>
      <c r="E188" s="65">
        <f>+C188*D188</f>
        <v>0</v>
      </c>
      <c r="F188" s="523"/>
      <c r="G188" s="524"/>
    </row>
    <row r="189" spans="1:7" x14ac:dyDescent="0.25">
      <c r="A189" s="8" t="s">
        <v>36</v>
      </c>
      <c r="B189" s="287"/>
      <c r="C189" s="287"/>
      <c r="D189" s="287"/>
      <c r="E189" s="65">
        <f t="shared" si="4"/>
        <v>0</v>
      </c>
      <c r="F189" s="523"/>
      <c r="G189" s="524"/>
    </row>
    <row r="190" spans="1:7" x14ac:dyDescent="0.25">
      <c r="A190" s="8" t="s">
        <v>37</v>
      </c>
      <c r="B190" s="287"/>
      <c r="C190" s="287"/>
      <c r="D190" s="287"/>
      <c r="E190" s="65">
        <f t="shared" si="4"/>
        <v>0</v>
      </c>
      <c r="F190" s="523"/>
      <c r="G190" s="524"/>
    </row>
    <row r="191" spans="1:7" x14ac:dyDescent="0.25">
      <c r="A191" s="8" t="s">
        <v>38</v>
      </c>
      <c r="B191" s="287"/>
      <c r="C191" s="287"/>
      <c r="D191" s="287"/>
      <c r="E191" s="65">
        <f t="shared" si="4"/>
        <v>0</v>
      </c>
      <c r="F191" s="523"/>
      <c r="G191" s="524"/>
    </row>
    <row r="192" spans="1:7" ht="15.75" thickBot="1" x14ac:dyDescent="0.3">
      <c r="A192" s="42" t="s">
        <v>212</v>
      </c>
      <c r="B192" s="43"/>
      <c r="C192" s="43"/>
      <c r="D192" s="43"/>
      <c r="E192" s="67">
        <f>SUM(E184:E191)</f>
        <v>0</v>
      </c>
      <c r="F192" s="498"/>
      <c r="G192" s="525"/>
    </row>
    <row r="193" spans="1:7" ht="9" customHeight="1" thickTop="1" x14ac:dyDescent="0.25">
      <c r="A193" s="47"/>
      <c r="B193" s="47"/>
      <c r="C193" s="47"/>
      <c r="D193" s="47"/>
      <c r="E193" s="47"/>
      <c r="F193" s="47"/>
      <c r="G193" s="47"/>
    </row>
    <row r="194" spans="1:7" ht="9" customHeight="1" thickBot="1" x14ac:dyDescent="0.3">
      <c r="A194" s="11"/>
      <c r="B194" s="47"/>
      <c r="C194" s="47"/>
      <c r="D194" s="47"/>
      <c r="E194" s="47"/>
      <c r="F194" s="47"/>
      <c r="G194" s="47"/>
    </row>
    <row r="195" spans="1:7" ht="19.5" thickTop="1" x14ac:dyDescent="0.3">
      <c r="A195" s="516" t="s">
        <v>287</v>
      </c>
      <c r="B195" s="517"/>
      <c r="C195" s="517"/>
      <c r="D195" s="517"/>
      <c r="E195" s="517"/>
      <c r="F195" s="517"/>
      <c r="G195" s="518"/>
    </row>
    <row r="196" spans="1:7" ht="27.75" customHeight="1" x14ac:dyDescent="0.25">
      <c r="A196" s="57" t="s">
        <v>8</v>
      </c>
      <c r="B196" s="58" t="s">
        <v>216</v>
      </c>
      <c r="C196" s="58" t="s">
        <v>225</v>
      </c>
      <c r="D196" s="58" t="s">
        <v>213</v>
      </c>
      <c r="E196" s="58" t="s">
        <v>9</v>
      </c>
      <c r="F196" s="519" t="s">
        <v>214</v>
      </c>
      <c r="G196" s="520"/>
    </row>
    <row r="197" spans="1:7" x14ac:dyDescent="0.25">
      <c r="A197" s="12" t="s">
        <v>250</v>
      </c>
      <c r="B197" s="287"/>
      <c r="C197" s="287"/>
      <c r="D197" s="287"/>
      <c r="E197" s="65">
        <f>+C197*D197</f>
        <v>0</v>
      </c>
      <c r="F197" s="521" t="s">
        <v>249</v>
      </c>
      <c r="G197" s="522"/>
    </row>
    <row r="198" spans="1:7" x14ac:dyDescent="0.25">
      <c r="A198" s="12" t="s">
        <v>40</v>
      </c>
      <c r="B198" s="287"/>
      <c r="C198" s="287"/>
      <c r="D198" s="287"/>
      <c r="E198" s="65">
        <f>+C198*D198</f>
        <v>0</v>
      </c>
      <c r="F198" s="523"/>
      <c r="G198" s="524"/>
    </row>
    <row r="199" spans="1:7" x14ac:dyDescent="0.25">
      <c r="A199" s="12" t="s">
        <v>41</v>
      </c>
      <c r="B199" s="287"/>
      <c r="C199" s="287"/>
      <c r="D199" s="287"/>
      <c r="E199" s="65">
        <f>+C199*D199</f>
        <v>0</v>
      </c>
      <c r="F199" s="523"/>
      <c r="G199" s="524"/>
    </row>
    <row r="200" spans="1:7" ht="15.75" thickBot="1" x14ac:dyDescent="0.3">
      <c r="A200" s="42" t="s">
        <v>212</v>
      </c>
      <c r="B200" s="43"/>
      <c r="C200" s="43"/>
      <c r="D200" s="43"/>
      <c r="E200" s="67">
        <f>SUM(E197:E199)</f>
        <v>0</v>
      </c>
      <c r="F200" s="43"/>
      <c r="G200" s="44"/>
    </row>
    <row r="201" spans="1:7" ht="9" customHeight="1" thickTop="1" x14ac:dyDescent="0.25">
      <c r="A201" s="47"/>
      <c r="B201" s="47"/>
      <c r="C201" s="47"/>
      <c r="D201" s="47"/>
      <c r="E201" s="47"/>
      <c r="F201" s="47"/>
      <c r="G201" s="47"/>
    </row>
    <row r="202" spans="1:7" ht="9" customHeight="1" thickBot="1" x14ac:dyDescent="0.3">
      <c r="A202" s="47"/>
      <c r="B202" s="47"/>
      <c r="C202" s="47"/>
      <c r="D202" s="47"/>
      <c r="E202" s="47"/>
      <c r="F202" s="47"/>
      <c r="G202" s="47"/>
    </row>
    <row r="203" spans="1:7" ht="20.25" thickTop="1" thickBot="1" x14ac:dyDescent="0.35">
      <c r="A203" s="516" t="s">
        <v>288</v>
      </c>
      <c r="B203" s="517"/>
      <c r="C203" s="517"/>
      <c r="D203" s="517"/>
      <c r="E203" s="517"/>
      <c r="F203" s="517"/>
      <c r="G203" s="518"/>
    </row>
    <row r="204" spans="1:7" ht="26.25" customHeight="1" thickTop="1" x14ac:dyDescent="0.25">
      <c r="A204" s="59" t="s">
        <v>8</v>
      </c>
      <c r="B204" s="60" t="s">
        <v>216</v>
      </c>
      <c r="C204" s="60" t="s">
        <v>225</v>
      </c>
      <c r="D204" s="60" t="s">
        <v>213</v>
      </c>
      <c r="E204" s="60" t="s">
        <v>9</v>
      </c>
      <c r="F204" s="509" t="s">
        <v>214</v>
      </c>
      <c r="G204" s="510"/>
    </row>
    <row r="205" spans="1:7" x14ac:dyDescent="0.25">
      <c r="A205" s="8" t="s">
        <v>48</v>
      </c>
      <c r="B205" s="299"/>
      <c r="C205" s="300"/>
      <c r="D205" s="300"/>
      <c r="E205" s="65">
        <f>+C205*D205</f>
        <v>0</v>
      </c>
      <c r="F205" s="496"/>
      <c r="G205" s="497"/>
    </row>
    <row r="206" spans="1:7" x14ac:dyDescent="0.25">
      <c r="A206" s="8" t="s">
        <v>154</v>
      </c>
      <c r="B206" s="299"/>
      <c r="C206" s="285"/>
      <c r="D206" s="285"/>
      <c r="E206" s="65">
        <f t="shared" ref="E206:E223" si="5">+C206*D206</f>
        <v>0</v>
      </c>
      <c r="F206" s="496"/>
      <c r="G206" s="497"/>
    </row>
    <row r="207" spans="1:7" x14ac:dyDescent="0.25">
      <c r="A207" s="8" t="s">
        <v>57</v>
      </c>
      <c r="B207" s="299"/>
      <c r="C207" s="285"/>
      <c r="D207" s="285"/>
      <c r="E207" s="65">
        <f t="shared" si="5"/>
        <v>0</v>
      </c>
      <c r="F207" s="496"/>
      <c r="G207" s="497"/>
    </row>
    <row r="208" spans="1:7" x14ac:dyDescent="0.25">
      <c r="A208" s="8" t="s">
        <v>155</v>
      </c>
      <c r="B208" s="299"/>
      <c r="C208" s="285"/>
      <c r="D208" s="285"/>
      <c r="E208" s="65">
        <f t="shared" si="5"/>
        <v>0</v>
      </c>
      <c r="F208" s="496"/>
      <c r="G208" s="497"/>
    </row>
    <row r="209" spans="1:7" x14ac:dyDescent="0.25">
      <c r="A209" s="8" t="s">
        <v>156</v>
      </c>
      <c r="B209" s="299"/>
      <c r="C209" s="285"/>
      <c r="D209" s="285"/>
      <c r="E209" s="65">
        <f t="shared" si="5"/>
        <v>0</v>
      </c>
      <c r="F209" s="496"/>
      <c r="G209" s="497"/>
    </row>
    <row r="210" spans="1:7" x14ac:dyDescent="0.25">
      <c r="A210" s="8" t="s">
        <v>157</v>
      </c>
      <c r="B210" s="299"/>
      <c r="C210" s="285"/>
      <c r="D210" s="285"/>
      <c r="E210" s="65">
        <f t="shared" si="5"/>
        <v>0</v>
      </c>
      <c r="F210" s="496"/>
      <c r="G210" s="497"/>
    </row>
    <row r="211" spans="1:7" x14ac:dyDescent="0.25">
      <c r="A211" s="8" t="s">
        <v>45</v>
      </c>
      <c r="B211" s="299"/>
      <c r="C211" s="285"/>
      <c r="D211" s="285"/>
      <c r="E211" s="65">
        <f t="shared" si="5"/>
        <v>0</v>
      </c>
      <c r="F211" s="496"/>
      <c r="G211" s="497"/>
    </row>
    <row r="212" spans="1:7" x14ac:dyDescent="0.25">
      <c r="A212" s="8" t="s">
        <v>46</v>
      </c>
      <c r="B212" s="299"/>
      <c r="C212" s="285"/>
      <c r="D212" s="285"/>
      <c r="E212" s="65">
        <f t="shared" si="5"/>
        <v>0</v>
      </c>
      <c r="F212" s="496"/>
      <c r="G212" s="497"/>
    </row>
    <row r="213" spans="1:7" x14ac:dyDescent="0.25">
      <c r="A213" s="8" t="s">
        <v>47</v>
      </c>
      <c r="B213" s="299"/>
      <c r="C213" s="285"/>
      <c r="D213" s="285"/>
      <c r="E213" s="65">
        <f t="shared" si="5"/>
        <v>0</v>
      </c>
      <c r="F213" s="496"/>
      <c r="G213" s="497"/>
    </row>
    <row r="214" spans="1:7" x14ac:dyDescent="0.25">
      <c r="A214" s="8" t="s">
        <v>49</v>
      </c>
      <c r="B214" s="299"/>
      <c r="C214" s="285"/>
      <c r="D214" s="285"/>
      <c r="E214" s="65">
        <f t="shared" si="5"/>
        <v>0</v>
      </c>
      <c r="F214" s="496"/>
      <c r="G214" s="497"/>
    </row>
    <row r="215" spans="1:7" x14ac:dyDescent="0.25">
      <c r="A215" s="8" t="s">
        <v>50</v>
      </c>
      <c r="B215" s="299"/>
      <c r="C215" s="285"/>
      <c r="D215" s="285"/>
      <c r="E215" s="65">
        <f t="shared" si="5"/>
        <v>0</v>
      </c>
      <c r="F215" s="496"/>
      <c r="G215" s="497"/>
    </row>
    <row r="216" spans="1:7" x14ac:dyDescent="0.25">
      <c r="A216" s="8" t="s">
        <v>51</v>
      </c>
      <c r="B216" s="299"/>
      <c r="C216" s="285"/>
      <c r="D216" s="285"/>
      <c r="E216" s="65">
        <f t="shared" si="5"/>
        <v>0</v>
      </c>
      <c r="F216" s="496"/>
      <c r="G216" s="497"/>
    </row>
    <row r="217" spans="1:7" x14ac:dyDescent="0.25">
      <c r="A217" s="8" t="s">
        <v>52</v>
      </c>
      <c r="B217" s="299"/>
      <c r="C217" s="145">
        <f>SUM(INGRESOS!B49:C49)</f>
        <v>0</v>
      </c>
      <c r="D217" s="285">
        <v>8500</v>
      </c>
      <c r="E217" s="65">
        <f t="shared" si="5"/>
        <v>0</v>
      </c>
      <c r="F217" s="496" t="s">
        <v>394</v>
      </c>
      <c r="G217" s="497"/>
    </row>
    <row r="218" spans="1:7" x14ac:dyDescent="0.25">
      <c r="A218" s="8" t="s">
        <v>53</v>
      </c>
      <c r="B218" s="299"/>
      <c r="C218" s="285"/>
      <c r="D218" s="285"/>
      <c r="E218" s="65">
        <f t="shared" si="5"/>
        <v>0</v>
      </c>
      <c r="F218" s="496"/>
      <c r="G218" s="497"/>
    </row>
    <row r="219" spans="1:7" x14ac:dyDescent="0.25">
      <c r="A219" s="8" t="s">
        <v>54</v>
      </c>
      <c r="B219" s="299"/>
      <c r="C219" s="285"/>
      <c r="D219" s="285"/>
      <c r="E219" s="65">
        <f t="shared" si="5"/>
        <v>0</v>
      </c>
      <c r="F219" s="496"/>
      <c r="G219" s="497"/>
    </row>
    <row r="220" spans="1:7" x14ac:dyDescent="0.25">
      <c r="A220" s="8" t="s">
        <v>55</v>
      </c>
      <c r="B220" s="299"/>
      <c r="C220" s="145">
        <f>SUM(INGRESOS!B42:C42)</f>
        <v>0</v>
      </c>
      <c r="D220" s="285">
        <v>0</v>
      </c>
      <c r="E220" s="65">
        <f t="shared" si="5"/>
        <v>0</v>
      </c>
      <c r="F220" s="496" t="s">
        <v>354</v>
      </c>
      <c r="G220" s="497"/>
    </row>
    <row r="221" spans="1:7" x14ac:dyDescent="0.25">
      <c r="A221" s="8" t="s">
        <v>43</v>
      </c>
      <c r="B221" s="299"/>
      <c r="C221" s="297"/>
      <c r="D221" s="297"/>
      <c r="E221" s="65">
        <f t="shared" si="5"/>
        <v>0</v>
      </c>
      <c r="F221" s="496"/>
      <c r="G221" s="497"/>
    </row>
    <row r="222" spans="1:7" x14ac:dyDescent="0.25">
      <c r="A222" s="8" t="s">
        <v>56</v>
      </c>
      <c r="B222" s="301"/>
      <c r="C222" s="285"/>
      <c r="D222" s="285"/>
      <c r="E222" s="65">
        <f t="shared" si="5"/>
        <v>0</v>
      </c>
      <c r="F222" s="496"/>
      <c r="G222" s="497"/>
    </row>
    <row r="223" spans="1:7" x14ac:dyDescent="0.25">
      <c r="A223" s="8" t="s">
        <v>58</v>
      </c>
      <c r="B223" s="301"/>
      <c r="C223" s="285"/>
      <c r="D223" s="285"/>
      <c r="E223" s="65">
        <f t="shared" si="5"/>
        <v>0</v>
      </c>
      <c r="F223" s="496"/>
      <c r="G223" s="497"/>
    </row>
    <row r="224" spans="1:7" ht="15.75" thickBot="1" x14ac:dyDescent="0.3">
      <c r="A224" s="61" t="s">
        <v>212</v>
      </c>
      <c r="B224" s="62"/>
      <c r="C224" s="62"/>
      <c r="D224" s="62"/>
      <c r="E224" s="70">
        <f>SUM(E205:E223)</f>
        <v>0</v>
      </c>
      <c r="F224" s="63"/>
      <c r="G224" s="64"/>
    </row>
    <row r="225" spans="1:7" ht="9" customHeight="1" thickTop="1" x14ac:dyDescent="0.25">
      <c r="A225" s="11"/>
      <c r="B225" s="47"/>
      <c r="C225" s="47"/>
      <c r="D225" s="47"/>
      <c r="E225" s="47"/>
      <c r="F225" s="47"/>
      <c r="G225" s="47"/>
    </row>
  </sheetData>
  <sheetProtection insertRows="0" deleteRows="0"/>
  <mergeCells count="123">
    <mergeCell ref="J1:K3"/>
    <mergeCell ref="E4:E5"/>
    <mergeCell ref="G4:G5"/>
    <mergeCell ref="F40:G40"/>
    <mergeCell ref="A1:G1"/>
    <mergeCell ref="A3:G3"/>
    <mergeCell ref="A4:A5"/>
    <mergeCell ref="B4:B5"/>
    <mergeCell ref="C4:C5"/>
    <mergeCell ref="D4:D5"/>
    <mergeCell ref="D20:D21"/>
    <mergeCell ref="E20:G21"/>
    <mergeCell ref="E22:G22"/>
    <mergeCell ref="E23:G23"/>
    <mergeCell ref="F45:G45"/>
    <mergeCell ref="A48:G48"/>
    <mergeCell ref="F49:G49"/>
    <mergeCell ref="F50:G50"/>
    <mergeCell ref="A11:G11"/>
    <mergeCell ref="A12:A13"/>
    <mergeCell ref="B12:B13"/>
    <mergeCell ref="C12:C13"/>
    <mergeCell ref="D12:D13"/>
    <mergeCell ref="E12:G13"/>
    <mergeCell ref="F28:G28"/>
    <mergeCell ref="F29:G29"/>
    <mergeCell ref="A27:G27"/>
    <mergeCell ref="A19:G19"/>
    <mergeCell ref="A20:A21"/>
    <mergeCell ref="B20:B21"/>
    <mergeCell ref="C20:C21"/>
    <mergeCell ref="A129:G129"/>
    <mergeCell ref="F54:G54"/>
    <mergeCell ref="A138:G138"/>
    <mergeCell ref="F139:G139"/>
    <mergeCell ref="F30:G30"/>
    <mergeCell ref="F36:G36"/>
    <mergeCell ref="A39:G39"/>
    <mergeCell ref="E14:G14"/>
    <mergeCell ref="E15:G15"/>
    <mergeCell ref="A122:G122"/>
    <mergeCell ref="A115:G115"/>
    <mergeCell ref="G117:G118"/>
    <mergeCell ref="F41:G41"/>
    <mergeCell ref="F42:G42"/>
    <mergeCell ref="F43:G43"/>
    <mergeCell ref="F44:G44"/>
    <mergeCell ref="F51:G51"/>
    <mergeCell ref="F52:G52"/>
    <mergeCell ref="F53:G53"/>
    <mergeCell ref="A57:G57"/>
    <mergeCell ref="A83:G83"/>
    <mergeCell ref="A99:G99"/>
    <mergeCell ref="A75:G75"/>
    <mergeCell ref="A91:G91"/>
    <mergeCell ref="A107:G107"/>
    <mergeCell ref="G109:G111"/>
    <mergeCell ref="F140:G140"/>
    <mergeCell ref="F142:G142"/>
    <mergeCell ref="F143:G143"/>
    <mergeCell ref="F171:G171"/>
    <mergeCell ref="A174:G174"/>
    <mergeCell ref="B175:C175"/>
    <mergeCell ref="A182:G182"/>
    <mergeCell ref="B177:C177"/>
    <mergeCell ref="B178:C178"/>
    <mergeCell ref="F166:G166"/>
    <mergeCell ref="F167:G167"/>
    <mergeCell ref="F168:G168"/>
    <mergeCell ref="F169:G169"/>
    <mergeCell ref="F170:G170"/>
    <mergeCell ref="E149:G149"/>
    <mergeCell ref="E150:G150"/>
    <mergeCell ref="E151:G151"/>
    <mergeCell ref="A147:G147"/>
    <mergeCell ref="E148:G148"/>
    <mergeCell ref="F144:G144"/>
    <mergeCell ref="E152:G152"/>
    <mergeCell ref="E153:G153"/>
    <mergeCell ref="A162:G162"/>
    <mergeCell ref="F163:G163"/>
    <mergeCell ref="E155:G155"/>
    <mergeCell ref="E156:G156"/>
    <mergeCell ref="A203:G203"/>
    <mergeCell ref="F183:G183"/>
    <mergeCell ref="F184:G191"/>
    <mergeCell ref="A195:G195"/>
    <mergeCell ref="F196:G196"/>
    <mergeCell ref="F197:G199"/>
    <mergeCell ref="F192:G192"/>
    <mergeCell ref="B54:C54"/>
    <mergeCell ref="F31:G31"/>
    <mergeCell ref="F32:G32"/>
    <mergeCell ref="F33:G33"/>
    <mergeCell ref="F141:G141"/>
    <mergeCell ref="B176:C176"/>
    <mergeCell ref="F222:G222"/>
    <mergeCell ref="A65:G65"/>
    <mergeCell ref="F204:G204"/>
    <mergeCell ref="F218:G218"/>
    <mergeCell ref="F206:G206"/>
    <mergeCell ref="F216:G216"/>
    <mergeCell ref="F219:G219"/>
    <mergeCell ref="F220:G220"/>
    <mergeCell ref="F221:G221"/>
    <mergeCell ref="F208:G208"/>
    <mergeCell ref="F209:G209"/>
    <mergeCell ref="F205:G205"/>
    <mergeCell ref="F164:G164"/>
    <mergeCell ref="F165:G165"/>
    <mergeCell ref="E154:G154"/>
    <mergeCell ref="E157:G157"/>
    <mergeCell ref="E159:G159"/>
    <mergeCell ref="E158:G158"/>
    <mergeCell ref="F223:G223"/>
    <mergeCell ref="F213:G213"/>
    <mergeCell ref="F214:G214"/>
    <mergeCell ref="F215:G215"/>
    <mergeCell ref="F210:G210"/>
    <mergeCell ref="F211:G211"/>
    <mergeCell ref="F212:G212"/>
    <mergeCell ref="F217:G217"/>
    <mergeCell ref="F207:G207"/>
  </mergeCells>
  <phoneticPr fontId="21" type="noConversion"/>
  <printOptions horizontalCentered="1"/>
  <pageMargins left="0.11811023622047245" right="0.11811023622047245" top="0.15748031496062992" bottom="0.15748031496062992" header="0.31496062992125984" footer="0.31496062992125984"/>
  <pageSetup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T52"/>
  <sheetViews>
    <sheetView zoomScale="70" zoomScaleNormal="70" workbookViewId="0">
      <pane xSplit="2" topLeftCell="O1" activePane="topRight" state="frozen"/>
      <selection pane="topRight" activeCell="W10" sqref="W10"/>
    </sheetView>
  </sheetViews>
  <sheetFormatPr baseColWidth="10" defaultRowHeight="15" x14ac:dyDescent="0.25"/>
  <cols>
    <col min="1" max="1" width="2.85546875" style="122" customWidth="1"/>
    <col min="2" max="2" width="17.7109375" style="122" customWidth="1"/>
    <col min="3" max="29" width="10" style="122" customWidth="1"/>
    <col min="30" max="30" width="11" style="122" customWidth="1"/>
    <col min="31" max="31" width="3.42578125" style="122" customWidth="1"/>
    <col min="32" max="32" width="5.5703125" style="122" customWidth="1"/>
    <col min="33" max="34" width="5.42578125" style="122" customWidth="1"/>
    <col min="35" max="35" width="5.140625" style="122" customWidth="1"/>
    <col min="36" max="36" width="8.28515625" style="122" customWidth="1"/>
    <col min="37" max="37" width="6.42578125" style="122" customWidth="1"/>
    <col min="38" max="38" width="8.28515625" style="122" customWidth="1"/>
    <col min="39" max="39" width="4.5703125" style="122" customWidth="1"/>
    <col min="40" max="40" width="6.5703125" style="122" customWidth="1"/>
    <col min="41" max="42" width="7.42578125" style="122" customWidth="1"/>
    <col min="43" max="43" width="5" style="122" customWidth="1"/>
    <col min="44" max="44" width="8.28515625" style="122" customWidth="1"/>
    <col min="45" max="45" width="7.140625" style="122" customWidth="1"/>
    <col min="46" max="46" width="8.42578125" style="122" customWidth="1"/>
    <col min="47" max="16384" width="11.42578125" style="122"/>
  </cols>
  <sheetData>
    <row r="1" spans="2:30" ht="9" customHeight="1" thickBot="1" x14ac:dyDescent="0.3">
      <c r="P1" s="148"/>
      <c r="Q1" s="148"/>
      <c r="R1" s="148"/>
      <c r="U1" s="148"/>
      <c r="V1" s="148"/>
      <c r="Y1" s="148"/>
      <c r="Z1" s="148"/>
      <c r="AC1" s="148"/>
      <c r="AD1" s="148"/>
    </row>
    <row r="2" spans="2:30" s="123" customFormat="1" ht="16.5" customHeight="1" thickBot="1" x14ac:dyDescent="0.3">
      <c r="B2" s="571" t="s">
        <v>398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P2" s="570" t="s">
        <v>381</v>
      </c>
      <c r="Q2" s="570"/>
      <c r="R2" s="570"/>
      <c r="S2" s="122"/>
      <c r="T2" s="122"/>
      <c r="U2" s="148"/>
      <c r="V2" s="148"/>
      <c r="W2" s="122"/>
      <c r="X2" s="122"/>
      <c r="Y2" s="148"/>
      <c r="Z2" s="148"/>
      <c r="AA2" s="122"/>
      <c r="AB2" s="122"/>
      <c r="AC2" s="148"/>
      <c r="AD2" s="148"/>
    </row>
    <row r="3" spans="2:30" s="123" customFormat="1" x14ac:dyDescent="0.25">
      <c r="B3" s="568" t="s">
        <v>308</v>
      </c>
      <c r="C3" s="553">
        <f>INGRESOS!B$7</f>
        <v>2027</v>
      </c>
      <c r="D3" s="554"/>
      <c r="E3" s="553">
        <f>INGRESOS!D$7</f>
        <v>2028</v>
      </c>
      <c r="F3" s="554"/>
      <c r="G3" s="553">
        <f>INGRESOS!F$7</f>
        <v>2029</v>
      </c>
      <c r="H3" s="554"/>
      <c r="I3" s="553">
        <f>INGRESOS!H$7</f>
        <v>2030</v>
      </c>
      <c r="J3" s="554"/>
      <c r="K3" s="553">
        <f>INGRESOS!J$7</f>
        <v>2031</v>
      </c>
      <c r="L3" s="554"/>
      <c r="M3" s="553">
        <f>INGRESOS!L$7</f>
        <v>2032</v>
      </c>
      <c r="N3" s="554"/>
      <c r="P3" s="570"/>
      <c r="Q3" s="570"/>
      <c r="R3" s="570"/>
      <c r="S3" s="122"/>
      <c r="T3" s="122"/>
      <c r="U3" s="148"/>
      <c r="V3" s="148"/>
      <c r="W3" s="122"/>
      <c r="X3" s="122"/>
      <c r="Y3" s="148"/>
      <c r="Z3" s="148"/>
      <c r="AA3" s="122"/>
      <c r="AB3" s="122"/>
      <c r="AC3" s="148"/>
      <c r="AD3" s="148"/>
    </row>
    <row r="4" spans="2:30" s="218" customFormat="1" ht="30.75" customHeight="1" thickBot="1" x14ac:dyDescent="0.3">
      <c r="B4" s="569"/>
      <c r="C4" s="321" t="str">
        <f>INGRESOS!B$8</f>
        <v>PERIODO A</v>
      </c>
      <c r="D4" s="322" t="str">
        <f>INGRESOS!C$8</f>
        <v>PERIODO B</v>
      </c>
      <c r="E4" s="321" t="str">
        <f>INGRESOS!D$8</f>
        <v>PERIODO A</v>
      </c>
      <c r="F4" s="322" t="str">
        <f>INGRESOS!E$8</f>
        <v>PERIODO B</v>
      </c>
      <c r="G4" s="321" t="str">
        <f>INGRESOS!F$8</f>
        <v>PERIODO A</v>
      </c>
      <c r="H4" s="322" t="str">
        <f>INGRESOS!G$8</f>
        <v>PERIODO B</v>
      </c>
      <c r="I4" s="321" t="str">
        <f>INGRESOS!H$8</f>
        <v>PERIODO A</v>
      </c>
      <c r="J4" s="322" t="str">
        <f>INGRESOS!I$8</f>
        <v>PERIODO B</v>
      </c>
      <c r="K4" s="321" t="str">
        <f>INGRESOS!J$8</f>
        <v>PERIODO A</v>
      </c>
      <c r="L4" s="323" t="str">
        <f>INGRESOS!K$8</f>
        <v>PERIODO B</v>
      </c>
      <c r="M4" s="321" t="str">
        <f>INGRESOS!L$8</f>
        <v>PERIODO A</v>
      </c>
      <c r="N4" s="323" t="str">
        <f>INGRESOS!M$8</f>
        <v>PERIODO B</v>
      </c>
      <c r="P4" s="570"/>
      <c r="Q4" s="570"/>
      <c r="R4" s="570"/>
      <c r="S4" s="216"/>
      <c r="T4" s="216"/>
      <c r="U4" s="217"/>
      <c r="V4" s="217"/>
      <c r="W4" s="216"/>
      <c r="X4" s="216"/>
      <c r="Y4" s="217"/>
      <c r="Z4" s="217"/>
      <c r="AA4" s="216"/>
      <c r="AB4" s="216"/>
      <c r="AC4" s="217"/>
      <c r="AD4" s="217"/>
    </row>
    <row r="5" spans="2:30" x14ac:dyDescent="0.25">
      <c r="B5" s="128" t="str">
        <f>+INGRESOS!A30</f>
        <v>Primero</v>
      </c>
      <c r="C5" s="132">
        <f>+INGRESOS!B30</f>
        <v>0</v>
      </c>
      <c r="D5" s="127"/>
      <c r="E5" s="132"/>
      <c r="F5" s="127"/>
      <c r="G5" s="132"/>
      <c r="H5" s="127"/>
      <c r="I5" s="132"/>
      <c r="J5" s="127"/>
      <c r="K5" s="130"/>
      <c r="L5" s="127"/>
      <c r="M5" s="130"/>
      <c r="N5" s="127"/>
      <c r="U5" s="148"/>
      <c r="V5" s="148"/>
      <c r="Y5" s="148"/>
      <c r="Z5" s="148"/>
      <c r="AC5" s="148"/>
      <c r="AD5" s="148"/>
    </row>
    <row r="6" spans="2:30" ht="15.75" thickBot="1" x14ac:dyDescent="0.3">
      <c r="B6" s="135" t="str">
        <f>+INGRESOS!A31</f>
        <v>Segundo</v>
      </c>
      <c r="C6" s="139"/>
      <c r="D6" s="124">
        <f>+INGRESOS!C31</f>
        <v>0</v>
      </c>
      <c r="E6" s="139"/>
      <c r="F6" s="124"/>
      <c r="G6" s="139"/>
      <c r="H6" s="124"/>
      <c r="I6" s="139"/>
      <c r="J6" s="124"/>
      <c r="K6" s="137"/>
      <c r="L6" s="124"/>
      <c r="M6" s="137"/>
      <c r="N6" s="124"/>
      <c r="U6" s="148"/>
      <c r="V6" s="148"/>
      <c r="Y6" s="148"/>
      <c r="Z6" s="148"/>
      <c r="AC6" s="148"/>
      <c r="AD6" s="148"/>
    </row>
    <row r="7" spans="2:30" x14ac:dyDescent="0.25">
      <c r="B7" s="128" t="str">
        <f>+INGRESOS!A32</f>
        <v>Tercero</v>
      </c>
      <c r="C7" s="132"/>
      <c r="D7" s="127"/>
      <c r="E7" s="132">
        <f>+INGRESOS!D32</f>
        <v>0</v>
      </c>
      <c r="F7" s="127"/>
      <c r="G7" s="132"/>
      <c r="H7" s="127"/>
      <c r="I7" s="132"/>
      <c r="J7" s="127"/>
      <c r="K7" s="130"/>
      <c r="L7" s="127"/>
      <c r="M7" s="130"/>
      <c r="N7" s="127"/>
      <c r="U7" s="148"/>
      <c r="V7" s="148"/>
      <c r="Y7" s="148"/>
      <c r="Z7" s="148"/>
      <c r="AC7" s="148"/>
      <c r="AD7" s="148"/>
    </row>
    <row r="8" spans="2:30" ht="15.75" thickBot="1" x14ac:dyDescent="0.3">
      <c r="B8" s="135" t="str">
        <f>+INGRESOS!A33</f>
        <v>Cuarto</v>
      </c>
      <c r="C8" s="139"/>
      <c r="D8" s="124"/>
      <c r="E8" s="139"/>
      <c r="F8" s="124">
        <f>+INGRESOS!E33</f>
        <v>0</v>
      </c>
      <c r="G8" s="139"/>
      <c r="H8" s="124"/>
      <c r="I8" s="139"/>
      <c r="J8" s="124"/>
      <c r="K8" s="137"/>
      <c r="L8" s="124"/>
      <c r="M8" s="137"/>
      <c r="N8" s="124"/>
      <c r="U8" s="148"/>
      <c r="V8" s="148"/>
      <c r="Y8" s="148"/>
      <c r="Z8" s="148"/>
      <c r="AC8" s="148"/>
      <c r="AD8" s="148"/>
    </row>
    <row r="9" spans="2:30" x14ac:dyDescent="0.25">
      <c r="B9" s="128" t="str">
        <f>+INGRESOS!A34</f>
        <v>Quinto</v>
      </c>
      <c r="C9" s="132"/>
      <c r="D9" s="127"/>
      <c r="E9" s="132"/>
      <c r="F9" s="127"/>
      <c r="G9" s="132">
        <f>+INGRESOS!F34</f>
        <v>0</v>
      </c>
      <c r="H9" s="127"/>
      <c r="I9" s="132"/>
      <c r="J9" s="127"/>
      <c r="K9" s="130"/>
      <c r="L9" s="127"/>
      <c r="M9" s="130"/>
      <c r="N9" s="127"/>
      <c r="P9" s="148"/>
      <c r="Q9" s="148"/>
      <c r="R9" s="148"/>
      <c r="U9" s="148"/>
      <c r="V9" s="148"/>
      <c r="Y9" s="148"/>
      <c r="Z9" s="148"/>
      <c r="AC9" s="148"/>
      <c r="AD9" s="148"/>
    </row>
    <row r="10" spans="2:30" ht="15.75" thickBot="1" x14ac:dyDescent="0.3">
      <c r="B10" s="135" t="str">
        <f>+INGRESOS!A35</f>
        <v>Sexto</v>
      </c>
      <c r="C10" s="139"/>
      <c r="D10" s="124"/>
      <c r="E10" s="139"/>
      <c r="F10" s="124"/>
      <c r="G10" s="139"/>
      <c r="H10" s="124">
        <f>+INGRESOS!G35</f>
        <v>0</v>
      </c>
      <c r="I10" s="139"/>
      <c r="J10" s="124"/>
      <c r="K10" s="137"/>
      <c r="L10" s="124"/>
      <c r="M10" s="137"/>
      <c r="N10" s="124"/>
      <c r="P10" s="148"/>
      <c r="Q10" s="148"/>
      <c r="R10" s="148"/>
      <c r="U10" s="148"/>
      <c r="V10" s="148"/>
      <c r="Y10" s="148"/>
      <c r="Z10" s="148"/>
      <c r="AC10" s="148"/>
      <c r="AD10" s="148"/>
    </row>
    <row r="11" spans="2:30" x14ac:dyDescent="0.25">
      <c r="B11" s="128" t="str">
        <f>+INGRESOS!A36</f>
        <v>Septimo</v>
      </c>
      <c r="C11" s="132"/>
      <c r="D11" s="127"/>
      <c r="E11" s="132"/>
      <c r="F11" s="127"/>
      <c r="G11" s="132"/>
      <c r="H11" s="127"/>
      <c r="I11" s="132">
        <f>+INGRESOS!H36</f>
        <v>0</v>
      </c>
      <c r="J11" s="127"/>
      <c r="K11" s="130"/>
      <c r="L11" s="127"/>
      <c r="M11" s="130"/>
      <c r="N11" s="127"/>
      <c r="P11" s="148"/>
      <c r="Q11" s="148"/>
      <c r="R11" s="148"/>
      <c r="U11" s="148"/>
      <c r="V11" s="148"/>
      <c r="Y11" s="148"/>
      <c r="Z11" s="148"/>
      <c r="AC11" s="148"/>
      <c r="AD11" s="148"/>
    </row>
    <row r="12" spans="2:30" ht="15.75" thickBot="1" x14ac:dyDescent="0.3">
      <c r="B12" s="135" t="str">
        <f>+INGRESOS!A37</f>
        <v>Octavo</v>
      </c>
      <c r="C12" s="139"/>
      <c r="D12" s="124"/>
      <c r="E12" s="139"/>
      <c r="F12" s="124"/>
      <c r="G12" s="139"/>
      <c r="H12" s="124"/>
      <c r="I12" s="139"/>
      <c r="J12" s="124">
        <f>+INGRESOS!I37</f>
        <v>0</v>
      </c>
      <c r="K12" s="137"/>
      <c r="L12" s="124"/>
      <c r="M12" s="137"/>
      <c r="N12" s="124"/>
      <c r="P12" s="148"/>
      <c r="Q12" s="148"/>
      <c r="R12" s="148"/>
      <c r="U12" s="148"/>
      <c r="V12" s="148"/>
      <c r="Y12" s="148"/>
      <c r="Z12" s="148"/>
      <c r="AC12" s="148"/>
      <c r="AD12" s="148"/>
    </row>
    <row r="13" spans="2:30" x14ac:dyDescent="0.25">
      <c r="B13" s="134" t="str">
        <f>+INGRESOS!A38</f>
        <v>Noveno</v>
      </c>
      <c r="C13" s="138"/>
      <c r="D13" s="125"/>
      <c r="E13" s="138"/>
      <c r="F13" s="125"/>
      <c r="G13" s="138"/>
      <c r="H13" s="125"/>
      <c r="I13" s="138"/>
      <c r="J13" s="125"/>
      <c r="K13" s="136">
        <f>+INGRESOS!J38</f>
        <v>0</v>
      </c>
      <c r="L13" s="125"/>
      <c r="M13" s="130"/>
      <c r="N13" s="127"/>
      <c r="P13" s="148"/>
      <c r="Q13" s="148"/>
      <c r="R13" s="148"/>
      <c r="U13" s="148"/>
      <c r="V13" s="148"/>
      <c r="Y13" s="148"/>
      <c r="Z13" s="148"/>
      <c r="AC13" s="148"/>
      <c r="AD13" s="148"/>
    </row>
    <row r="14" spans="2:30" ht="15.75" thickBot="1" x14ac:dyDescent="0.3">
      <c r="B14" s="135" t="str">
        <f>+INGRESOS!A39</f>
        <v>Decimo</v>
      </c>
      <c r="C14" s="139"/>
      <c r="D14" s="124"/>
      <c r="E14" s="139"/>
      <c r="F14" s="124"/>
      <c r="G14" s="139"/>
      <c r="H14" s="124"/>
      <c r="I14" s="139"/>
      <c r="J14" s="124"/>
      <c r="K14" s="137"/>
      <c r="L14" s="124">
        <f>+INGRESOS!K39</f>
        <v>0</v>
      </c>
      <c r="M14" s="137"/>
      <c r="N14" s="124"/>
      <c r="P14" s="148"/>
      <c r="Q14" s="148"/>
      <c r="R14" s="148"/>
      <c r="U14" s="148"/>
      <c r="V14" s="148"/>
      <c r="Y14" s="148"/>
      <c r="Z14" s="148"/>
      <c r="AC14" s="148"/>
      <c r="AD14" s="148"/>
    </row>
    <row r="15" spans="2:30" x14ac:dyDescent="0.25">
      <c r="B15" s="134" t="str">
        <f>+INGRESOS!A40</f>
        <v>Once</v>
      </c>
      <c r="C15" s="138"/>
      <c r="D15" s="125"/>
      <c r="E15" s="138"/>
      <c r="F15" s="125"/>
      <c r="G15" s="138"/>
      <c r="H15" s="125"/>
      <c r="I15" s="138"/>
      <c r="J15" s="125"/>
      <c r="K15" s="138"/>
      <c r="L15" s="125"/>
      <c r="M15" s="136">
        <f>+INGRESOS!L40</f>
        <v>0</v>
      </c>
      <c r="N15" s="125"/>
      <c r="P15" s="148"/>
      <c r="Q15" s="148"/>
      <c r="R15" s="148"/>
      <c r="U15" s="148"/>
      <c r="V15" s="148"/>
      <c r="Y15" s="148"/>
      <c r="Z15" s="148"/>
      <c r="AC15" s="148"/>
      <c r="AD15" s="148"/>
    </row>
    <row r="16" spans="2:30" ht="15.75" thickBot="1" x14ac:dyDescent="0.3">
      <c r="B16" s="135" t="str">
        <f>+INGRESOS!A41</f>
        <v>Doce</v>
      </c>
      <c r="C16" s="139"/>
      <c r="D16" s="124"/>
      <c r="E16" s="139"/>
      <c r="F16" s="124"/>
      <c r="G16" s="139"/>
      <c r="H16" s="124"/>
      <c r="I16" s="139"/>
      <c r="J16" s="124"/>
      <c r="K16" s="139"/>
      <c r="L16" s="124"/>
      <c r="M16" s="137"/>
      <c r="N16" s="124">
        <f>+INGRESOS!M41</f>
        <v>0</v>
      </c>
      <c r="P16" s="148"/>
      <c r="Q16" s="148"/>
      <c r="R16" s="148"/>
      <c r="U16" s="148"/>
      <c r="V16" s="148"/>
      <c r="Y16" s="148"/>
      <c r="Z16" s="148"/>
      <c r="AC16" s="148"/>
      <c r="AD16" s="148"/>
    </row>
    <row r="17" spans="2:46" ht="15.75" thickBot="1" x14ac:dyDescent="0.3">
      <c r="B17" s="151" t="s">
        <v>319</v>
      </c>
      <c r="C17" s="169">
        <f>IF(INGRESOS!$J$25=1,INGRESOS!C$49,0)</f>
        <v>0</v>
      </c>
      <c r="D17" s="325">
        <f>IF(INGRESOS!$J$25=2,INGRESOS!D$49,0)</f>
        <v>0</v>
      </c>
      <c r="E17" s="169">
        <f>IF(INGRESOS!$J$25=3,INGRESOS!E$49,0)</f>
        <v>0</v>
      </c>
      <c r="F17" s="325">
        <f>IF(INGRESOS!$J$25=4,INGRESOS!F$49,0)</f>
        <v>0</v>
      </c>
      <c r="G17" s="169">
        <f>IF(INGRESOS!$J$25=5,INGRESOS!G$49,0)</f>
        <v>0</v>
      </c>
      <c r="H17" s="325">
        <f>IF(INGRESOS!$J$25=6,INGRESOS!H$49,0)</f>
        <v>0</v>
      </c>
      <c r="I17" s="169">
        <f>IF(INGRESOS!$J$25=7,INGRESOS!I$49,0)</f>
        <v>0</v>
      </c>
      <c r="J17" s="325">
        <f>IF(INGRESOS!$J$25=8,INGRESOS!J$49,0)</f>
        <v>0</v>
      </c>
      <c r="K17" s="169">
        <f>IF(INGRESOS!$J$25=9,INGRESOS!K$49,0)</f>
        <v>0</v>
      </c>
      <c r="L17" s="325">
        <f>IF(INGRESOS!$J$25=10,INGRESOS!L$49,0)</f>
        <v>0</v>
      </c>
      <c r="M17" s="169">
        <f>IF(INGRESOS!$J$25=11,INGRESOS!M$49,0)</f>
        <v>0</v>
      </c>
      <c r="N17" s="325">
        <f>IF(INGRESOS!$J$25=12,INGRESOS!N$49,0)</f>
        <v>0</v>
      </c>
      <c r="P17" s="148"/>
      <c r="Q17" s="148"/>
      <c r="R17" s="148"/>
      <c r="U17" s="148"/>
      <c r="V17" s="148"/>
      <c r="Y17" s="148"/>
      <c r="Z17" s="148"/>
      <c r="AC17" s="148"/>
      <c r="AD17" s="148"/>
    </row>
    <row r="18" spans="2:46" x14ac:dyDescent="0.25">
      <c r="B18" s="147" t="s">
        <v>317</v>
      </c>
      <c r="C18" s="148"/>
      <c r="D18" s="148">
        <f>INGRESOS!$Z$31</f>
        <v>0</v>
      </c>
      <c r="E18" s="148">
        <f>INGRESOS!$Z$32</f>
        <v>0</v>
      </c>
      <c r="F18" s="148">
        <f>INGRESOS!$Z$33</f>
        <v>0</v>
      </c>
      <c r="G18" s="148">
        <f>INGRESOS!$Z$34</f>
        <v>0</v>
      </c>
      <c r="H18" s="148">
        <f>INGRESOS!$Z$35</f>
        <v>0</v>
      </c>
      <c r="I18" s="148">
        <f>INGRESOS!$Z$36</f>
        <v>0</v>
      </c>
      <c r="J18" s="148">
        <f>INGRESOS!$Z$37</f>
        <v>0</v>
      </c>
      <c r="K18" s="148">
        <f>INGRESOS!$Z$38</f>
        <v>0</v>
      </c>
      <c r="L18" s="148">
        <f>INGRESOS!$Z$39</f>
        <v>0</v>
      </c>
      <c r="M18" s="148">
        <f>INGRESOS!$Z$40</f>
        <v>0</v>
      </c>
      <c r="N18" s="148">
        <f>INGRESOS!$Z$41</f>
        <v>0</v>
      </c>
      <c r="P18" s="148"/>
      <c r="Q18" s="148"/>
      <c r="R18" s="148"/>
      <c r="U18" s="148"/>
      <c r="V18" s="148"/>
      <c r="Y18" s="148"/>
      <c r="Z18" s="148"/>
      <c r="AC18" s="148"/>
      <c r="AD18" s="148"/>
    </row>
    <row r="19" spans="2:46" x14ac:dyDescent="0.25">
      <c r="B19" s="147" t="s">
        <v>395</v>
      </c>
      <c r="D19" s="148" t="str">
        <f t="shared" ref="D19:K19" si="0">IF(D17=0," ",IF($C$5=0,0,($C$5-D17)/$C$5))</f>
        <v xml:space="preserve"> </v>
      </c>
      <c r="E19" s="148" t="str">
        <f t="shared" si="0"/>
        <v xml:space="preserve"> </v>
      </c>
      <c r="F19" s="148" t="str">
        <f t="shared" si="0"/>
        <v xml:space="preserve"> </v>
      </c>
      <c r="G19" s="148" t="str">
        <f t="shared" si="0"/>
        <v xml:space="preserve"> </v>
      </c>
      <c r="H19" s="148" t="str">
        <f t="shared" si="0"/>
        <v xml:space="preserve"> </v>
      </c>
      <c r="I19" s="148" t="str">
        <f t="shared" si="0"/>
        <v xml:space="preserve"> </v>
      </c>
      <c r="J19" s="148" t="str">
        <f t="shared" si="0"/>
        <v xml:space="preserve"> </v>
      </c>
      <c r="K19" s="148" t="str">
        <f t="shared" si="0"/>
        <v xml:space="preserve"> </v>
      </c>
      <c r="L19" s="148" t="str">
        <f>IF(L17=0," ",IF($C$5=0,0,($C$5-L17)/$C$5))</f>
        <v xml:space="preserve"> </v>
      </c>
      <c r="M19" s="148" t="str">
        <f t="shared" ref="M19" si="1">IF(M17=0," ",IF($C$5=0,0,($C$5-M17)/$C$5))</f>
        <v xml:space="preserve"> </v>
      </c>
      <c r="N19" s="148" t="str">
        <f>IF(N17=0," ",IF($C$5=0,0,($C$5-N17)/$C$5))</f>
        <v xml:space="preserve"> </v>
      </c>
      <c r="P19" s="148"/>
      <c r="Q19" s="148"/>
      <c r="R19" s="148"/>
      <c r="U19" s="148"/>
      <c r="V19" s="148"/>
      <c r="Y19" s="148"/>
      <c r="Z19" s="148"/>
      <c r="AC19" s="148"/>
      <c r="AD19" s="148"/>
    </row>
    <row r="20" spans="2:46" x14ac:dyDescent="0.25">
      <c r="AL20" s="168"/>
    </row>
    <row r="21" spans="2:46" x14ac:dyDescent="0.25">
      <c r="B21" s="204" t="str">
        <f>CONCATENATE("Un Crédito Académico son 48 horas (",B22," con acompañamieto (sincrónicas) y ",48-B22," independientes (asincrónicas))")</f>
        <v>Un Crédito Académico son 48 horas (16 con acompañamieto (sincrónicas) y 32 independientes (asincrónicas))</v>
      </c>
    </row>
    <row r="22" spans="2:46" ht="15.75" thickBot="1" x14ac:dyDescent="0.3">
      <c r="B22" s="302">
        <v>16</v>
      </c>
      <c r="E22" s="149" t="s">
        <v>399</v>
      </c>
      <c r="F22" s="150">
        <f>48/B22-1</f>
        <v>2</v>
      </c>
      <c r="G22" s="122" t="s">
        <v>415</v>
      </c>
      <c r="I22" s="150"/>
      <c r="J22" s="150"/>
      <c r="AN22" s="555" t="s">
        <v>414</v>
      </c>
      <c r="AO22" s="555"/>
      <c r="AP22" s="555"/>
      <c r="AQ22" s="555"/>
      <c r="AR22" s="555"/>
      <c r="AS22" s="555"/>
      <c r="AT22" s="555"/>
    </row>
    <row r="23" spans="2:46" ht="15.75" thickBot="1" x14ac:dyDescent="0.3">
      <c r="B23" s="574" t="s">
        <v>355</v>
      </c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  <c r="AC23" s="575"/>
      <c r="AD23" s="576"/>
      <c r="AI23" s="345">
        <v>40</v>
      </c>
      <c r="AJ23" s="556" t="s">
        <v>327</v>
      </c>
      <c r="AK23" s="557"/>
      <c r="AL23" s="558"/>
      <c r="AQ23" s="345">
        <v>40</v>
      </c>
      <c r="AR23" s="556" t="s">
        <v>327</v>
      </c>
      <c r="AS23" s="557"/>
      <c r="AT23" s="558"/>
    </row>
    <row r="24" spans="2:46" ht="15.75" customHeight="1" x14ac:dyDescent="0.25">
      <c r="B24" s="568" t="s">
        <v>308</v>
      </c>
      <c r="C24" s="551" t="s">
        <v>356</v>
      </c>
      <c r="D24" s="552"/>
      <c r="E24" s="551" t="s">
        <v>357</v>
      </c>
      <c r="F24" s="552"/>
      <c r="G24" s="551" t="s">
        <v>358</v>
      </c>
      <c r="H24" s="552"/>
      <c r="I24" s="551" t="s">
        <v>359</v>
      </c>
      <c r="J24" s="552"/>
      <c r="K24" s="551" t="s">
        <v>360</v>
      </c>
      <c r="L24" s="552"/>
      <c r="M24" s="551" t="s">
        <v>361</v>
      </c>
      <c r="N24" s="552"/>
      <c r="O24" s="551" t="s">
        <v>362</v>
      </c>
      <c r="P24" s="552"/>
      <c r="Q24" s="551" t="s">
        <v>363</v>
      </c>
      <c r="R24" s="552"/>
      <c r="S24" s="551" t="s">
        <v>364</v>
      </c>
      <c r="T24" s="552"/>
      <c r="U24" s="551" t="s">
        <v>365</v>
      </c>
      <c r="V24" s="552"/>
      <c r="W24" s="551" t="s">
        <v>371</v>
      </c>
      <c r="X24" s="552"/>
      <c r="Y24" s="551" t="s">
        <v>372</v>
      </c>
      <c r="Z24" s="552"/>
      <c r="AA24" s="551" t="s">
        <v>373</v>
      </c>
      <c r="AB24" s="552"/>
      <c r="AC24" s="551" t="s">
        <v>374</v>
      </c>
      <c r="AD24" s="552"/>
      <c r="AF24" s="553" t="s">
        <v>321</v>
      </c>
      <c r="AG24" s="567"/>
      <c r="AH24" s="554"/>
      <c r="AI24" s="565" t="s">
        <v>324</v>
      </c>
      <c r="AJ24" s="559" t="s">
        <v>328</v>
      </c>
      <c r="AK24" s="561" t="s">
        <v>329</v>
      </c>
      <c r="AL24" s="563" t="s">
        <v>330</v>
      </c>
      <c r="AN24" s="553" t="s">
        <v>321</v>
      </c>
      <c r="AO24" s="567"/>
      <c r="AP24" s="554"/>
      <c r="AQ24" s="565" t="s">
        <v>324</v>
      </c>
      <c r="AR24" s="559" t="s">
        <v>328</v>
      </c>
      <c r="AS24" s="561" t="s">
        <v>329</v>
      </c>
      <c r="AT24" s="563" t="s">
        <v>330</v>
      </c>
    </row>
    <row r="25" spans="2:46" ht="15.75" thickBot="1" x14ac:dyDescent="0.3">
      <c r="B25" s="569"/>
      <c r="C25" s="131" t="s">
        <v>310</v>
      </c>
      <c r="D25" s="126" t="s">
        <v>311</v>
      </c>
      <c r="E25" s="131" t="s">
        <v>310</v>
      </c>
      <c r="F25" s="126" t="s">
        <v>311</v>
      </c>
      <c r="G25" s="131" t="s">
        <v>310</v>
      </c>
      <c r="H25" s="126" t="s">
        <v>311</v>
      </c>
      <c r="I25" s="131" t="s">
        <v>310</v>
      </c>
      <c r="J25" s="126" t="s">
        <v>311</v>
      </c>
      <c r="K25" s="131" t="s">
        <v>310</v>
      </c>
      <c r="L25" s="126" t="s">
        <v>311</v>
      </c>
      <c r="M25" s="131" t="s">
        <v>310</v>
      </c>
      <c r="N25" s="126" t="s">
        <v>311</v>
      </c>
      <c r="O25" s="131" t="s">
        <v>310</v>
      </c>
      <c r="P25" s="126" t="s">
        <v>311</v>
      </c>
      <c r="Q25" s="131" t="s">
        <v>310</v>
      </c>
      <c r="R25" s="126" t="s">
        <v>311</v>
      </c>
      <c r="S25" s="129" t="s">
        <v>310</v>
      </c>
      <c r="T25" s="126" t="s">
        <v>311</v>
      </c>
      <c r="U25" s="131" t="s">
        <v>310</v>
      </c>
      <c r="V25" s="126" t="s">
        <v>311</v>
      </c>
      <c r="W25" s="129" t="s">
        <v>310</v>
      </c>
      <c r="X25" s="126" t="s">
        <v>311</v>
      </c>
      <c r="Y25" s="131" t="s">
        <v>310</v>
      </c>
      <c r="Z25" s="126" t="s">
        <v>311</v>
      </c>
      <c r="AA25" s="129" t="s">
        <v>310</v>
      </c>
      <c r="AB25" s="126" t="s">
        <v>311</v>
      </c>
      <c r="AC25" s="131" t="s">
        <v>310</v>
      </c>
      <c r="AD25" s="126" t="s">
        <v>311</v>
      </c>
      <c r="AF25" s="317" t="s">
        <v>322</v>
      </c>
      <c r="AG25" s="318" t="s">
        <v>323</v>
      </c>
      <c r="AH25" s="319" t="s">
        <v>326</v>
      </c>
      <c r="AI25" s="566"/>
      <c r="AJ25" s="560"/>
      <c r="AK25" s="562"/>
      <c r="AL25" s="564"/>
      <c r="AN25" s="317" t="s">
        <v>322</v>
      </c>
      <c r="AO25" s="318" t="s">
        <v>323</v>
      </c>
      <c r="AP25" s="319" t="s">
        <v>326</v>
      </c>
      <c r="AQ25" s="566"/>
      <c r="AR25" s="560"/>
      <c r="AS25" s="562"/>
      <c r="AT25" s="564"/>
    </row>
    <row r="26" spans="2:46" s="177" customFormat="1" ht="24" customHeight="1" x14ac:dyDescent="0.25">
      <c r="B26" s="174" t="str">
        <f t="shared" ref="B26:B37" si="2">+B5</f>
        <v>Primero</v>
      </c>
      <c r="C26" s="210">
        <f>($AF26+$AG26*2+$AH26)*$AI26</f>
        <v>0</v>
      </c>
      <c r="D26" s="211">
        <f>($AF26+$AG26*2)*$AI26*$B$22+$AH26*$AJ26*$AL26</f>
        <v>0</v>
      </c>
      <c r="E26" s="175">
        <f>IF(INGRESOS!$J$5=INGRESOS!$AA$3,0,IF(INGRESOS!$J$5=INGRESOS!$AA$2,0,($AF26+$AG26*2+$AH26)*$AI26))</f>
        <v>0</v>
      </c>
      <c r="F26" s="176">
        <f>IF(INGRESOS!$J$5=INGRESOS!$AA$3,0,IF(INGRESOS!$J$5=INGRESOS!$AA$2,0,($AF26+$AG26*2)*$AI26*$B$22+$AH26*$AJ26*$AL26))</f>
        <v>0</v>
      </c>
      <c r="G26" s="175">
        <f>IF(INGRESOS!$J$5=INGRESOS!$AA$3,0,($AF26+$AG26*2+$AH26)*$AI26)</f>
        <v>0</v>
      </c>
      <c r="H26" s="176">
        <f>IF(INGRESOS!$J$5=INGRESOS!$AA$3,0,($AF26+$AG26*2)*$AI26*$B$22+$AH26*$AJ26*$AL26)</f>
        <v>0</v>
      </c>
      <c r="I26" s="175">
        <f>IF(INGRESOS!$J$5=INGRESOS!$AA$3,0,IF(INGRESOS!$J$5=INGRESOS!$AA$2,0,($AF26+$AG26*2+$AH26)*$AI26))</f>
        <v>0</v>
      </c>
      <c r="J26" s="176">
        <f>IF(INGRESOS!$J$5=INGRESOS!$AA$3,0,IF(INGRESOS!$J$5=INGRESOS!$AA$2,0,($AF26+$AG26*2)*$AI26*$B$22+$AH26*$AJ26*$AL26))</f>
        <v>0</v>
      </c>
      <c r="K26" s="175">
        <f>IF(INGRESOS!$J$5=INGRESOS!$AA$3,0,($AF26+$AG26*2+$AH26)*$AI26)</f>
        <v>0</v>
      </c>
      <c r="L26" s="176">
        <f>IF(INGRESOS!$J$5=INGRESOS!$AA$3,0,($AF26+$AG26*2)*$AI26*$B$22+$AH26*$AJ26*$AL26)</f>
        <v>0</v>
      </c>
      <c r="M26" s="175">
        <f>IF(INGRESOS!$J$5=INGRESOS!$AA$3,0,IF(INGRESOS!$J$5=INGRESOS!$AA$2,0,($AF26+$AG26*2+$AH26)*$AI26))</f>
        <v>0</v>
      </c>
      <c r="N26" s="176">
        <f>IF(INGRESOS!$J$5=INGRESOS!$AA$3,0,IF(INGRESOS!$J$5=INGRESOS!$AA$2,0,($AF26+$AG26*2)*$AI26*$B$22+$AH26*$AJ26*$AL26))</f>
        <v>0</v>
      </c>
      <c r="O26" s="175">
        <f>IF(INGRESOS!$J$5=INGRESOS!$AA$3,0,($AF26+$AG26*2+$AH26)*$AI26)</f>
        <v>0</v>
      </c>
      <c r="P26" s="176">
        <f>IF(INGRESOS!$J$5=INGRESOS!$AA$3,0,($AF26+$AG26*2)*$AI26*$B$22+$AH26*$AJ26*$AL26)</f>
        <v>0</v>
      </c>
      <c r="Q26" s="175">
        <f>IF(INGRESOS!$J$5=INGRESOS!$AA$3,0,IF(INGRESOS!$J$5=INGRESOS!$AA$2,0,($AF26+$AG26*2+$AH26)*$AI26))</f>
        <v>0</v>
      </c>
      <c r="R26" s="176">
        <f>IF(INGRESOS!$J$5=INGRESOS!$AA$3,0,IF(INGRESOS!$J$5=INGRESOS!$AA$2,0,($AF26+$AG26*2)*$AI26*$B$22+$AH26*$AJ26*$AL26))</f>
        <v>0</v>
      </c>
      <c r="S26" s="175">
        <f>IF(INGRESOS!$J$5=INGRESOS!$AA$3,0,($AF26+$AG26*2+$AH26)*$AI26)</f>
        <v>0</v>
      </c>
      <c r="T26" s="176">
        <f>IF(INGRESOS!$J$5=INGRESOS!$AA$3,0,($AF26+$AG26*2)*$AI26*$B$22+$AH26*$AJ26*$AL26)</f>
        <v>0</v>
      </c>
      <c r="U26" s="175">
        <f>IF(INGRESOS!$J$5=INGRESOS!$AA$3,0,IF(INGRESOS!$J$5=INGRESOS!$AA$2,0,($AF26+$AG26*2+$AH26)*$AI26))</f>
        <v>0</v>
      </c>
      <c r="V26" s="176">
        <f>IF(INGRESOS!$J$5=INGRESOS!$AA$3,0,IF(INGRESOS!$J$5=INGRESOS!$AA$2,0,($AF26+$AG26*2)*$AI26*$B$22+$AH26*$AJ26*$AL26))</f>
        <v>0</v>
      </c>
      <c r="W26" s="175">
        <f>IF(INGRESOS!$J$5=INGRESOS!$AA$3,0,($AF26+$AG26*2+$AH26)*$AI26)</f>
        <v>0</v>
      </c>
      <c r="X26" s="176">
        <f>IF(INGRESOS!$J$5=INGRESOS!$AA$3,0,($AF26+$AG26*2)*$AI26*$B$22+$AH26*$AJ26*$AL26)</f>
        <v>0</v>
      </c>
      <c r="Y26" s="175">
        <f>IF(INGRESOS!$J$5=INGRESOS!$AA$3,0,IF(INGRESOS!$J$5=INGRESOS!$AA$2,0,($AF26+$AG26*2+$AH26)*$AI26))</f>
        <v>0</v>
      </c>
      <c r="Z26" s="176">
        <f>IF(INGRESOS!$J$5=INGRESOS!$AA$3,0,IF(INGRESOS!$J$5=INGRESOS!$AA$2,0,($AF26+$AG26*2)*$AI26*$B$22+$AH26*$AJ26*$AL26))</f>
        <v>0</v>
      </c>
      <c r="AA26" s="175">
        <f>IF(INGRESOS!$J$5=INGRESOS!$AA$3,0,($AF26+$AG26*2+$AH26)*$AI26)</f>
        <v>0</v>
      </c>
      <c r="AB26" s="176">
        <f>IF(INGRESOS!$J$5=INGRESOS!$AA$3,0,($AF26+$AG26*2)*$AI26*$B$22+$AH26*$AJ26*$AL26)</f>
        <v>0</v>
      </c>
      <c r="AC26" s="175">
        <f>IF(INGRESOS!$J$5=INGRESOS!$AA$3,0,IF(INGRESOS!$J$5=INGRESOS!$AA$2,0,($AF26+$AG26*2+$AH26)*$AI26))</f>
        <v>0</v>
      </c>
      <c r="AD26" s="176">
        <f>IF(INGRESOS!$J$5=INGRESOS!$AA$3,0,IF(INGRESOS!$J$5=INGRESOS!$AA$2,0,($AF26+$AG26*2)*$AI26*$B$22+$AH26*$AJ26*$AL26))</f>
        <v>0</v>
      </c>
      <c r="AF26" s="303">
        <f>SUM(Malla!$F$4:$F$11)-AH26-AG26</f>
        <v>0</v>
      </c>
      <c r="AG26" s="343">
        <f>SUMIF(Malla!$E$4:$E$11,Malla!$AB$5,Malla!$F$4:$F$11)</f>
        <v>0</v>
      </c>
      <c r="AH26" s="196">
        <f>SUMIF(Malla!$D$4:$D$11,Malla!$AA$6,Malla!$F$4:$F$11)</f>
        <v>0</v>
      </c>
      <c r="AI26" s="180">
        <f>ROUNDUP(IF($C5=0,0,$C5/$AI$23),0)</f>
        <v>0</v>
      </c>
      <c r="AJ26" s="309"/>
      <c r="AK26" s="305"/>
      <c r="AL26" s="181">
        <f>ROUNDUP(IF(AH26&gt;0,C5/AK26,0),0)</f>
        <v>0</v>
      </c>
      <c r="AN26" s="303">
        <f>SUM(Malla!$R$4:$R$11)-AP26-AO26</f>
        <v>0</v>
      </c>
      <c r="AO26" s="343">
        <f>SUMIF(Malla!$Q$4:$Q$11,Malla!$AB$5,Malla!$R$4:$R$11)</f>
        <v>0</v>
      </c>
      <c r="AP26" s="196">
        <f>SUMIF(Malla!$P$4:$P$11,Malla!$AA$6,Malla!$R$4:$R$11)</f>
        <v>0</v>
      </c>
      <c r="AQ26" s="180">
        <f>ROUNDUP(IF(INGRESOS!$AA30=0,0,INGRESOS!$AA30/$AQ$23),0)</f>
        <v>0</v>
      </c>
      <c r="AR26" s="194"/>
      <c r="AS26" s="195"/>
      <c r="AT26" s="181">
        <f>ROUNDUP(IF(AP26&gt;0,C5/AS26,0),0)</f>
        <v>0</v>
      </c>
    </row>
    <row r="27" spans="2:46" s="177" customFormat="1" ht="24" customHeight="1" thickBot="1" x14ac:dyDescent="0.3">
      <c r="B27" s="182" t="str">
        <f t="shared" si="2"/>
        <v>Segundo</v>
      </c>
      <c r="C27" s="214">
        <f>IF(INGRESOS!$J$5=INGRESOS!$AA$3,0,IF(INGRESOS!$J$5=INGRESOS!$AA$2,0,($AN27+$AO27*2+$AP27)*$AQ27))</f>
        <v>0</v>
      </c>
      <c r="D27" s="215">
        <f>IF(INGRESOS!$J$5=INGRESOS!$AA$3,0,IF(C27=0,0,IF(INGRESOS!$J$5=INGRESOS!$AA$2,0,($AN27+$AO27*2)*$AQ27*$B$22+$AP27*$AR27*$AT27)))</f>
        <v>0</v>
      </c>
      <c r="E27" s="212">
        <f>($AF27+$AG27*2+$AH27)*$AI27</f>
        <v>0</v>
      </c>
      <c r="F27" s="213">
        <f>($AF27+$AG27*2)*$AI27*$B$22+$AH27*$AJ27*$AL27</f>
        <v>0</v>
      </c>
      <c r="G27" s="183">
        <f>IF(INGRESOS!$J$5=INGRESOS!$AA$3,0,IF(INGRESOS!$J$5=INGRESOS!$AA$2,0,($AF27+$AG27*2+$AH27)*$AI27))</f>
        <v>0</v>
      </c>
      <c r="H27" s="184">
        <f>IF(INGRESOS!$J$5=INGRESOS!$AA$3,0,IF(INGRESOS!$J$5=INGRESOS!$AA$2,0,($AF27+$AG27*2)*$AI27*$B$22+$AH27*$AJ27*$AL27))</f>
        <v>0</v>
      </c>
      <c r="I27" s="183">
        <f>IF(INGRESOS!$J$5=INGRESOS!$AA$3,0,($AF27+$AG27*2+$AH27)*$AI27)</f>
        <v>0</v>
      </c>
      <c r="J27" s="184">
        <f>IF(INGRESOS!$J$5=INGRESOS!$AA$3,0,($AF27+$AG27*2)*$AI27*$B$22+$AH27*$AJ27*$AL27)</f>
        <v>0</v>
      </c>
      <c r="K27" s="183">
        <f>IF(INGRESOS!$J$5=INGRESOS!$AA$3,0,IF(INGRESOS!$J$5=INGRESOS!$AA$2,0,($AF27+$AG27*2+$AH27)*$AI27))</f>
        <v>0</v>
      </c>
      <c r="L27" s="184">
        <f>IF(INGRESOS!$J$5=INGRESOS!$AA$3,0,IF(INGRESOS!$J$5=INGRESOS!$AA$2,0,($AF27+$AG27*2)*$AI27*$B$22+$AH27*$AJ27*$AL27))</f>
        <v>0</v>
      </c>
      <c r="M27" s="183">
        <f>IF(INGRESOS!$J$5=INGRESOS!$AA$3,0,($AF27+$AG27*2+$AH27)*$AI27)</f>
        <v>0</v>
      </c>
      <c r="N27" s="184">
        <f>IF(INGRESOS!$J$5=INGRESOS!$AA$3,0,($AF27+$AG27*2)*$AI27*$B$22+$AH27*$AJ27*$AL27)</f>
        <v>0</v>
      </c>
      <c r="O27" s="183">
        <f>IF(INGRESOS!$J$5=INGRESOS!$AA$3,0,IF(INGRESOS!$J$5=INGRESOS!$AA$2,0,($AF27+$AG27*2+$AH27)*$AI27))</f>
        <v>0</v>
      </c>
      <c r="P27" s="184">
        <f>IF(INGRESOS!$J$5=INGRESOS!$AA$3,0,IF(INGRESOS!$J$5=INGRESOS!$AA$2,0,($AF27+$AG27*2)*$AI27*$B$22+$AH27*$AJ27*$AL27))</f>
        <v>0</v>
      </c>
      <c r="Q27" s="183">
        <f>IF(INGRESOS!$J$5=INGRESOS!$AA$3,0,($AF27+$AG27*2+$AH27)*$AI27)</f>
        <v>0</v>
      </c>
      <c r="R27" s="184">
        <f>IF(INGRESOS!$J$5=INGRESOS!$AA$3,0,($AF27+$AG27*2)*$AI27*$B$22+$AH27*$AJ27*$AL27)</f>
        <v>0</v>
      </c>
      <c r="S27" s="183">
        <f>IF(INGRESOS!$J$5=INGRESOS!$AA$3,0,IF(INGRESOS!$J$5=INGRESOS!$AA$2,0,($AF27+$AG27*2+$AH27)*$AI27))</f>
        <v>0</v>
      </c>
      <c r="T27" s="184">
        <f>IF(INGRESOS!$J$5=INGRESOS!$AA$3,0,IF(INGRESOS!$J$5=INGRESOS!$AA$2,0,($AF27+$AG27*2)*$AI27*$B$22+$AH27*$AJ27*$AL27))</f>
        <v>0</v>
      </c>
      <c r="U27" s="183">
        <f>IF(INGRESOS!$J$5=INGRESOS!$AA$3,0,($AF27+$AG27*2+$AH27)*$AI27)</f>
        <v>0</v>
      </c>
      <c r="V27" s="184">
        <f>IF(INGRESOS!$J$5=INGRESOS!$AA$3,0,($AF27+$AG27*2)*$AI27*$B$22+$AH27*$AJ27*$AL27)</f>
        <v>0</v>
      </c>
      <c r="W27" s="183">
        <f>IF(INGRESOS!$J$5=INGRESOS!$AA$3,0,IF(INGRESOS!$J$5=INGRESOS!$AA$2,0,($AF27+$AG27*2+$AH27)*$AI27))</f>
        <v>0</v>
      </c>
      <c r="X27" s="184">
        <f>IF(INGRESOS!$J$5=INGRESOS!$AA$3,0,IF(INGRESOS!$J$5=INGRESOS!$AA$2,0,($AF27+$AG27*2)*$AI27*$B$22+$AH27*$AJ27*$AL27))</f>
        <v>0</v>
      </c>
      <c r="Y27" s="183">
        <f>IF(INGRESOS!$J$5=INGRESOS!$AA$3,0,($AF27+$AG27*2+$AH27)*$AI27)</f>
        <v>0</v>
      </c>
      <c r="Z27" s="184">
        <f>IF(INGRESOS!$J$5=INGRESOS!$AA$3,0,($AF27+$AG27*2)*$AI27*$B$22+$AH27*$AJ27*$AL27)</f>
        <v>0</v>
      </c>
      <c r="AA27" s="183">
        <f>IF(INGRESOS!$J$5=INGRESOS!$AA$3,0,IF(INGRESOS!$J$5=INGRESOS!$AA$2,0,($AF27+$AG27*2+$AH27)*$AI27))</f>
        <v>0</v>
      </c>
      <c r="AB27" s="184">
        <f>IF(INGRESOS!$J$5=INGRESOS!$AA$3,0,IF(INGRESOS!$J$5=INGRESOS!$AA$2,0,($AF27+$AG27*2)*$AI27*$B$22+$AH27*$AJ27*$AL27))</f>
        <v>0</v>
      </c>
      <c r="AC27" s="183">
        <f>IF(INGRESOS!$J$5=INGRESOS!$AA$3,0,($AF27+$AG27*2+$AH27)*$AI27)</f>
        <v>0</v>
      </c>
      <c r="AD27" s="184">
        <f>IF(INGRESOS!$J$5=INGRESOS!$AA$3,0,($AF27+$AG27*2)*$AI27*$B$22+$AH27*$AJ27*$AL27)</f>
        <v>0</v>
      </c>
      <c r="AF27" s="304">
        <f>SUM(Malla!$F$12:$F$19)-AH27-AG27</f>
        <v>0</v>
      </c>
      <c r="AG27" s="344">
        <f>SUMIF(Malla!$E$12:$E$19,Malla!$AB$5,Malla!$F$12:$F$19)</f>
        <v>0</v>
      </c>
      <c r="AH27" s="190">
        <f>SUMIF(Malla!$D$12:$D$19,Malla!$AA$6,Malla!$F$12:$F$19)</f>
        <v>0</v>
      </c>
      <c r="AI27" s="192">
        <f>ROUNDUP(IF($D6=0,0,$D6/$AI$23),0)</f>
        <v>0</v>
      </c>
      <c r="AJ27" s="310"/>
      <c r="AK27" s="311"/>
      <c r="AL27" s="193">
        <f>ROUNDUP(IF(AH27&gt;0,D6/AK27,0),0)</f>
        <v>0</v>
      </c>
      <c r="AN27" s="304">
        <f>SUM(Malla!$R$12:$R$19)-AP27-AO27</f>
        <v>0</v>
      </c>
      <c r="AO27" s="344">
        <f>SUMIF(Malla!$Q$12:$Q$19,Malla!$AB$5,Malla!$R$12:$R$19)</f>
        <v>0</v>
      </c>
      <c r="AP27" s="190">
        <f>SUMIF(Malla!$P$12:$P$19,Malla!$AA$6,Malla!$R$12:$R$19)</f>
        <v>0</v>
      </c>
      <c r="AQ27" s="185">
        <f>ROUNDUP(IF(INGRESOS!$AA31=0,0,INGRESOS!$AA31/$AQ$23),0)</f>
        <v>0</v>
      </c>
      <c r="AR27" s="197"/>
      <c r="AS27" s="198"/>
      <c r="AT27" s="193">
        <f>ROUNDUP(IF(AP27&gt;0,D6/AS27,0),0)</f>
        <v>0</v>
      </c>
    </row>
    <row r="28" spans="2:46" s="177" customFormat="1" ht="24" customHeight="1" x14ac:dyDescent="0.25">
      <c r="B28" s="174" t="str">
        <f t="shared" si="2"/>
        <v>Tercero</v>
      </c>
      <c r="C28" s="175">
        <f>IF(INGRESOS!$J$5=INGRESOS!$AA$3,0,($AN28+$AO28*2+$AP28)*$AQ28)</f>
        <v>0</v>
      </c>
      <c r="D28" s="176">
        <f>IF(INGRESOS!$J$5=INGRESOS!$AA$3,0,IF(C28=0,0,($AN28+$AO28*2)*$AQ28*$B$22+$AP28*$AR28*$AT28))</f>
        <v>0</v>
      </c>
      <c r="E28" s="175">
        <f>IF(INGRESOS!$J$5=INGRESOS!$AA$3,0,IF(INGRESOS!$J$5=INGRESOS!$AA$2,0,($AN28+$AO28*2+$AP28)*$AQ28))</f>
        <v>0</v>
      </c>
      <c r="F28" s="176">
        <f>IF(INGRESOS!$J$5=INGRESOS!$AA$3,0,IF(E28=0,0,($AN28+$AO28*2)*$AQ28*$B$22+$AP28*$AR28*$AT28))</f>
        <v>0</v>
      </c>
      <c r="G28" s="210">
        <f>($AF28+$AG28*2+$AH28)*$AI28</f>
        <v>0</v>
      </c>
      <c r="H28" s="211">
        <f>($AF28+$AG28*2)*$AI28*$B$22+$AH28*$AJ28*$AL28</f>
        <v>0</v>
      </c>
      <c r="I28" s="175">
        <f>IF(INGRESOS!$J$5=INGRESOS!$AA$3,0,IF(INGRESOS!$J$5=INGRESOS!$AA$2,0,($AF28+$AG28*2+$AH28)*$AI28))</f>
        <v>0</v>
      </c>
      <c r="J28" s="176">
        <f>IF(INGRESOS!$J$5=INGRESOS!$AA$3,0,IF(INGRESOS!$J$5=INGRESOS!$AA$2,0,($AF28+$AG28*2)*$AI28*$B$22+$AH28*$AJ28*$AL28))</f>
        <v>0</v>
      </c>
      <c r="K28" s="175">
        <f>IF(INGRESOS!$J$5=INGRESOS!$AA$3,0,($AF28+$AG28*2+$AH28)*$AI28)</f>
        <v>0</v>
      </c>
      <c r="L28" s="176">
        <f>IF(INGRESOS!$J$5=INGRESOS!$AA$3,0,($AF28+$AG28*2)*$AI28*$B$22+$AH28*$AJ28*$AL28)</f>
        <v>0</v>
      </c>
      <c r="M28" s="175">
        <f>IF(INGRESOS!$J$5=INGRESOS!$AA$3,0,IF(INGRESOS!$J$5=INGRESOS!$AA$2,0,($AF28+$AG28*2+$AH28)*$AI28))</f>
        <v>0</v>
      </c>
      <c r="N28" s="176">
        <f>IF(INGRESOS!$J$5=INGRESOS!$AA$3,0,IF(INGRESOS!$J$5=INGRESOS!$AA$2,0,($AF28+$AG28*2)*$AI28*$B$22+$AH28*$AJ28*$AL28))</f>
        <v>0</v>
      </c>
      <c r="O28" s="175">
        <f>IF(INGRESOS!$J$5=INGRESOS!$AA$3,0,($AF28+$AG28*2+$AH28)*$AI28)</f>
        <v>0</v>
      </c>
      <c r="P28" s="176">
        <f>IF(INGRESOS!$J$5=INGRESOS!$AA$3,0,($AF28+$AG28*2)*$AI28*$B$22+$AH28*$AJ28*$AL28)</f>
        <v>0</v>
      </c>
      <c r="Q28" s="175">
        <f>IF(INGRESOS!$J$5=INGRESOS!$AA$3,0,IF(INGRESOS!$J$5=INGRESOS!$AA$2,0,($AF28+$AG28*2+$AH28)*$AI28))</f>
        <v>0</v>
      </c>
      <c r="R28" s="176">
        <f>IF(INGRESOS!$J$5=INGRESOS!$AA$3,0,IF(INGRESOS!$J$5=INGRESOS!$AA$2,0,($AF28+$AG28*2)*$AI28*$B$22+$AH28*$AJ28*$AL28))</f>
        <v>0</v>
      </c>
      <c r="S28" s="175">
        <f>IF(INGRESOS!$J$5=INGRESOS!$AA$3,0,($AF28+$AG28*2+$AH28)*$AI28)</f>
        <v>0</v>
      </c>
      <c r="T28" s="176">
        <f>IF(INGRESOS!$J$5=INGRESOS!$AA$3,0,($AF28+$AG28*2)*$AI28*$B$22+$AH28*$AJ28*$AL28)</f>
        <v>0</v>
      </c>
      <c r="U28" s="175">
        <f>IF(INGRESOS!$J$5=INGRESOS!$AA$3,0,IF(INGRESOS!$J$5=INGRESOS!$AA$2,0,($AF28+$AG28*2+$AH28)*$AI28))</f>
        <v>0</v>
      </c>
      <c r="V28" s="176">
        <f>IF(INGRESOS!$J$5=INGRESOS!$AA$3,0,IF(INGRESOS!$J$5=INGRESOS!$AA$2,0,($AF28+$AG28*2)*$AI28*$B$22+$AH28*$AJ28*$AL28))</f>
        <v>0</v>
      </c>
      <c r="W28" s="175">
        <f>IF(INGRESOS!$J$5=INGRESOS!$AA$3,0,($AF28+$AG28*2+$AH28)*$AI28)</f>
        <v>0</v>
      </c>
      <c r="X28" s="176">
        <f>IF(INGRESOS!$J$5=INGRESOS!$AA$3,0,($AF28+$AG28*2)*$AI28*$B$22+$AH28*$AJ28*$AL28)</f>
        <v>0</v>
      </c>
      <c r="Y28" s="175">
        <f>IF(INGRESOS!$J$5=INGRESOS!$AA$3,0,IF(INGRESOS!$J$5=INGRESOS!$AA$2,0,($AF28+$AG28*2+$AH28)*$AI28))</f>
        <v>0</v>
      </c>
      <c r="Z28" s="176">
        <f>IF(INGRESOS!$J$5=INGRESOS!$AA$3,0,IF(INGRESOS!$J$5=INGRESOS!$AA$2,0,($AF28+$AG28*2)*$AI28*$B$22+$AH28*$AJ28*$AL28))</f>
        <v>0</v>
      </c>
      <c r="AA28" s="175">
        <f>IF(INGRESOS!$J$5=INGRESOS!$AA$3,0,($AF28+$AG28*2+$AH28)*$AI28)</f>
        <v>0</v>
      </c>
      <c r="AB28" s="176">
        <f>IF(INGRESOS!$J$5=INGRESOS!$AA$3,0,($AF28+$AG28*2)*$AI28*$B$22+$AH28*$AJ28*$AL28)</f>
        <v>0</v>
      </c>
      <c r="AC28" s="175">
        <f>IF(INGRESOS!$J$5=INGRESOS!$AA$3,0,IF(INGRESOS!$J$5=INGRESOS!$AA$2,0,($AF28+$AG28*2+$AH28)*$AI28))</f>
        <v>0</v>
      </c>
      <c r="AD28" s="176">
        <f>IF(INGRESOS!$J$5=INGRESOS!$AA$3,0,IF(INGRESOS!$J$5=INGRESOS!$AA$2,0,($AF28+$AG28*2)*$AI28*$B$22+$AH28*$AJ28*$AL28))</f>
        <v>0</v>
      </c>
      <c r="AF28" s="303">
        <f>SUM(Malla!$F$20:$F$27)-AH28-AG28</f>
        <v>0</v>
      </c>
      <c r="AG28" s="343">
        <f>SUMIF(Malla!$E$20:$E$27,Malla!$AB$5,Malla!$F$20:$F$27)</f>
        <v>0</v>
      </c>
      <c r="AH28" s="196">
        <f>SUMIF(Malla!$D$20:$D$27,Malla!$AA$6,Malla!$F$20:$F$27)</f>
        <v>0</v>
      </c>
      <c r="AI28" s="180">
        <f>ROUNDUP(IF($E7=0,0,$E7/$AI$23),0)</f>
        <v>0</v>
      </c>
      <c r="AJ28" s="312"/>
      <c r="AK28" s="307"/>
      <c r="AL28" s="196">
        <f>ROUNDUP(IF(AH28&gt;0,E7/AK28,0),0)</f>
        <v>0</v>
      </c>
      <c r="AN28" s="303">
        <f>SUM(Malla!$R$20:$R$27)-AP28-AO28</f>
        <v>0</v>
      </c>
      <c r="AO28" s="343">
        <f>SUMIF(Malla!$Q$20:$Q$27,Malla!$AB$5,Malla!$R$20:$R$27)</f>
        <v>0</v>
      </c>
      <c r="AP28" s="196">
        <f>SUMIF(Malla!$P$20:$P$27,Malla!$AA$6,Malla!$R$20:$R$27)</f>
        <v>0</v>
      </c>
      <c r="AQ28" s="180">
        <f>IF(INGRESOS!$J$25&gt;=INGRESOS!$X32,MAX(AQ26:AQ27),0)</f>
        <v>0</v>
      </c>
      <c r="AR28" s="194"/>
      <c r="AS28" s="195"/>
      <c r="AT28" s="196">
        <f>ROUNDUP(IF(AP28&gt;0,E7/AS28,0),0)</f>
        <v>0</v>
      </c>
    </row>
    <row r="29" spans="2:46" s="177" customFormat="1" ht="24" customHeight="1" thickBot="1" x14ac:dyDescent="0.3">
      <c r="B29" s="182" t="str">
        <f t="shared" si="2"/>
        <v>Cuarto</v>
      </c>
      <c r="C29" s="214">
        <f>IF(INGRESOS!$J$5=INGRESOS!$AA$3,0,IF(INGRESOS!$J$5=INGRESOS!$AA$2,0,($AN29+$AO29*2+$AP29)*$AQ29))</f>
        <v>0</v>
      </c>
      <c r="D29" s="215">
        <f>IF(INGRESOS!$J$5=INGRESOS!$AA$3,0,IF(C29=0,0,IF(INGRESOS!$J$5=INGRESOS!$AA$2,0,($AN29+$AO29*2)*$AQ29*$B$22+$AP29*$AR29*$AT29)))</f>
        <v>0</v>
      </c>
      <c r="E29" s="214">
        <f>IF(INGRESOS!$J$5=INGRESOS!$AA$3,0,($AN29+$AO29*2+$AP29)*$AQ29)</f>
        <v>0</v>
      </c>
      <c r="F29" s="215">
        <f>IF(INGRESOS!$J$5=INGRESOS!$AA$3,0,IF(E29=0,0,($AN29+$AO29*2)*$AQ29*$B$22+$AP29*$AR29*$AT29))</f>
        <v>0</v>
      </c>
      <c r="G29" s="214">
        <f>IF(INGRESOS!$J$5=INGRESOS!$AA$3,0,IF(INGRESOS!$J$5=INGRESOS!$AA$2,0,($AN29+$AO29*2+$AP29)*$AQ29))</f>
        <v>0</v>
      </c>
      <c r="H29" s="215">
        <f>IF(INGRESOS!$J$5=INGRESOS!$AA$3,0,IF(G29=0,0,IF(INGRESOS!$J$5=INGRESOS!$AA$2,0,($AN29+$AO29*2)*$AQ29*$B$22+$AP29*$AR29*$AT29)))</f>
        <v>0</v>
      </c>
      <c r="I29" s="212">
        <f>($AF29+$AG29*2+$AH29)*$AI29</f>
        <v>0</v>
      </c>
      <c r="J29" s="213">
        <f>($AF29+$AG29*2)*$AI29*$B$22+$AH29*$AJ29*$AL29</f>
        <v>0</v>
      </c>
      <c r="K29" s="183">
        <f>IF(INGRESOS!$J$5=INGRESOS!$AA$3,0,IF(INGRESOS!$J$5=INGRESOS!$AA$2,0,($AF29+$AG29*2+$AH29)*$AI29))</f>
        <v>0</v>
      </c>
      <c r="L29" s="184">
        <f>IF(INGRESOS!$J$5=INGRESOS!$AA$3,0,IF(INGRESOS!$J$5=INGRESOS!$AA$2,0,($AF29+$AG29*2)*$AI29*$B$22+$AH29*$AJ29*$AL29))</f>
        <v>0</v>
      </c>
      <c r="M29" s="183">
        <f>IF(INGRESOS!$J$5=INGRESOS!$AA$3,0,($AF29+$AG29*2+$AH29)*$AI29)</f>
        <v>0</v>
      </c>
      <c r="N29" s="184">
        <f>IF(INGRESOS!$J$5=INGRESOS!$AA$3,0,($AF29+$AG29*2)*$AI29*$B$22+$AH29*$AJ29*$AL29)</f>
        <v>0</v>
      </c>
      <c r="O29" s="183">
        <f>IF(INGRESOS!$J$5=INGRESOS!$AA$3,0,IF(INGRESOS!$J$5=INGRESOS!$AA$2,0,($AF29+$AG29*2+$AH29)*$AI29))</f>
        <v>0</v>
      </c>
      <c r="P29" s="184">
        <f>IF(INGRESOS!$J$5=INGRESOS!$AA$3,0,IF(INGRESOS!$J$5=INGRESOS!$AA$2,0,($AF29+$AG29*2)*$AI29*$B$22+$AH29*$AJ29*$AL29))</f>
        <v>0</v>
      </c>
      <c r="Q29" s="183">
        <f>IF(INGRESOS!$J$5=INGRESOS!$AA$3,0,($AF29+$AG29*2+$AH29)*$AI29)</f>
        <v>0</v>
      </c>
      <c r="R29" s="184">
        <f>IF(INGRESOS!$J$5=INGRESOS!$AA$3,0,($AF29+$AG29*2)*$AI29*$B$22+$AH29*$AJ29*$AL29)</f>
        <v>0</v>
      </c>
      <c r="S29" s="183">
        <f>IF(INGRESOS!$J$5=INGRESOS!$AA$3,0,IF(INGRESOS!$J$5=INGRESOS!$AA$2,0,($AF29+$AG29*2+$AH29)*$AI29))</f>
        <v>0</v>
      </c>
      <c r="T29" s="184">
        <f>IF(INGRESOS!$J$5=INGRESOS!$AA$3,0,IF(INGRESOS!$J$5=INGRESOS!$AA$2,0,($AF29+$AG29*2)*$AI29*$B$22+$AH29*$AJ29*$AL29))</f>
        <v>0</v>
      </c>
      <c r="U29" s="183">
        <f>IF(INGRESOS!$J$5=INGRESOS!$AA$3,0,($AF29+$AG29*2+$AH29)*$AI29)</f>
        <v>0</v>
      </c>
      <c r="V29" s="184">
        <f>IF(INGRESOS!$J$5=INGRESOS!$AA$3,0,($AF29+$AG29*2)*$AI29*$B$22+$AH29*$AJ29*$AL29)</f>
        <v>0</v>
      </c>
      <c r="W29" s="183">
        <f>IF(INGRESOS!$J$5=INGRESOS!$AA$3,0,IF(INGRESOS!$J$5=INGRESOS!$AA$2,0,($AF29+$AG29*2+$AH29)*$AI29))</f>
        <v>0</v>
      </c>
      <c r="X29" s="184">
        <f>IF(INGRESOS!$J$5=INGRESOS!$AA$3,0,IF(INGRESOS!$J$5=INGRESOS!$AA$2,0,($AF29+$AG29*2)*$AI29*$B$22+$AH29*$AJ29*$AL29))</f>
        <v>0</v>
      </c>
      <c r="Y29" s="183">
        <f>IF(INGRESOS!$J$5=INGRESOS!$AA$3,0,($AF29+$AG29*2+$AH29)*$AI29)</f>
        <v>0</v>
      </c>
      <c r="Z29" s="184">
        <f>IF(INGRESOS!$J$5=INGRESOS!$AA$3,0,($AF29+$AG29*2)*$AI29*$B$22+$AH29*$AJ29*$AL29)</f>
        <v>0</v>
      </c>
      <c r="AA29" s="183">
        <f>IF(INGRESOS!$J$5=INGRESOS!$AA$3,0,IF(INGRESOS!$J$5=INGRESOS!$AA$2,0,($AF29+$AG29*2+$AH29)*$AI29))</f>
        <v>0</v>
      </c>
      <c r="AB29" s="184">
        <f>IF(INGRESOS!$J$5=INGRESOS!$AA$3,0,IF(INGRESOS!$J$5=INGRESOS!$AA$2,0,($AF29+$AG29*2)*$AI29*$B$22+$AH29*$AJ29*$AL29))</f>
        <v>0</v>
      </c>
      <c r="AC29" s="183">
        <f>IF(INGRESOS!$J$5=INGRESOS!$AA$3,0,($AF29+$AG29*2+$AH29)*$AI29)</f>
        <v>0</v>
      </c>
      <c r="AD29" s="184">
        <f>IF(INGRESOS!$J$5=INGRESOS!$AA$3,0,($AF29+$AG29*2)*$AI29*$B$22+$AH29*$AJ29*$AL29)</f>
        <v>0</v>
      </c>
      <c r="AF29" s="304">
        <f>SUM(Malla!$F$28:$F$35)-AH29-AG29</f>
        <v>0</v>
      </c>
      <c r="AG29" s="344">
        <f>SUMIF(Malla!$E$28:$E$35,Malla!$AB$5,Malla!$F$28:$F$35)</f>
        <v>0</v>
      </c>
      <c r="AH29" s="190">
        <f>SUMIF(Malla!$D$28:$D$35,Malla!$AA$6,Malla!$F$28:$F$35)</f>
        <v>0</v>
      </c>
      <c r="AI29" s="192">
        <f>ROUNDUP(IF($F8=0,0,$F8/$AI$23),0)</f>
        <v>0</v>
      </c>
      <c r="AJ29" s="313"/>
      <c r="AK29" s="314"/>
      <c r="AL29" s="190">
        <f>ROUNDUP(IF(AH29&gt;0,F8/AK29,0),0)</f>
        <v>0</v>
      </c>
      <c r="AN29" s="304">
        <f>SUM(Malla!$R$28:$R$35)-AP29-AO29</f>
        <v>0</v>
      </c>
      <c r="AO29" s="344">
        <f>SUMIF(Malla!$Q$28:$Q$35,Malla!$AB$5,Malla!$R$28:$R$35)</f>
        <v>0</v>
      </c>
      <c r="AP29" s="190">
        <f>SUMIF(Malla!$P$28:$P$35,Malla!$AA$6,Malla!$R$28:$R$35)</f>
        <v>0</v>
      </c>
      <c r="AQ29" s="185">
        <f>IF(INGRESOS!$J$25&gt;=INGRESOS!$X33,AQ28,0)</f>
        <v>0</v>
      </c>
      <c r="AR29" s="197"/>
      <c r="AS29" s="198"/>
      <c r="AT29" s="190">
        <f>ROUNDUP(IF(AP29&gt;0,F8/AS29,0),0)</f>
        <v>0</v>
      </c>
    </row>
    <row r="30" spans="2:46" s="177" customFormat="1" ht="24" customHeight="1" x14ac:dyDescent="0.25">
      <c r="B30" s="174" t="str">
        <f t="shared" si="2"/>
        <v>Quinto</v>
      </c>
      <c r="C30" s="175">
        <f>IF(INGRESOS!$J$5=INGRESOS!$AA$3,0,($AN30+$AO30*2+$AP30)*$AQ30)</f>
        <v>0</v>
      </c>
      <c r="D30" s="176">
        <f>IF(INGRESOS!$J$5=INGRESOS!$AA$3,0,IF(C30=0,0,($AN30+$AO30*2)*$AQ30*$B$22+$AP30*$AR30*$AT30))</f>
        <v>0</v>
      </c>
      <c r="E30" s="175">
        <f>IF(INGRESOS!$J$5=INGRESOS!$AA$3,0,IF(INGRESOS!$J$5=INGRESOS!$AA$2,0,($AN30+$AO30*2+$AP30)*$AQ30))</f>
        <v>0</v>
      </c>
      <c r="F30" s="176">
        <f>IF(INGRESOS!$J$5=INGRESOS!$AA$3,0,IF(E30=0,0,($AN30+$AO30*2)*$AQ30*$B$22+$AP30*$AR30*$AT30))</f>
        <v>0</v>
      </c>
      <c r="G30" s="175">
        <f>IF(INGRESOS!$J$5=INGRESOS!$AA$3,0,($AN30+$AO30*2+$AP30)*$AQ30)</f>
        <v>0</v>
      </c>
      <c r="H30" s="176">
        <f>IF(INGRESOS!$J$5=INGRESOS!$AA$3,0,IF(G30=0,0,($AN30+$AO30*2)*$AQ30*$B$22+$AP30*$AR30*$AT30))</f>
        <v>0</v>
      </c>
      <c r="I30" s="175">
        <f>IF(INGRESOS!$J$5=INGRESOS!$AA$3,0,IF(INGRESOS!$J$5=INGRESOS!$AA$2,0,($AN30+$AO30*2+$AP30)*$AQ30))</f>
        <v>0</v>
      </c>
      <c r="J30" s="176">
        <f>IF(INGRESOS!$J$5=INGRESOS!$AA$3,0,IF(I30=0,0,($AN30+$AO30*2)*$AQ30*$B$22+$AP30*$AR30*$AT30))</f>
        <v>0</v>
      </c>
      <c r="K30" s="210">
        <f>($AF30+$AG30*2+$AH30)*$AI30</f>
        <v>0</v>
      </c>
      <c r="L30" s="211">
        <f>($AF30+$AG30*2)*$AI30*$B$22+$AH30*$AJ30*$AL30</f>
        <v>0</v>
      </c>
      <c r="M30" s="175">
        <f>IF(INGRESOS!$J$5=INGRESOS!$AA$3,0,IF(INGRESOS!$J$5=INGRESOS!$AA$2,0,($AF30+$AG30*2+$AH30)*$AI30))</f>
        <v>0</v>
      </c>
      <c r="N30" s="176">
        <f>IF(INGRESOS!$J$5=INGRESOS!$AA$3,0,IF(INGRESOS!$J$5=INGRESOS!$AA$2,0,($AF30+$AG30*2)*$AI30*$B$22+$AH30*$AJ30*$AL30))</f>
        <v>0</v>
      </c>
      <c r="O30" s="175">
        <f>IF(INGRESOS!$J$5=INGRESOS!$AA$3,0,($AF30+$AG30*2+$AH30)*$AI30)</f>
        <v>0</v>
      </c>
      <c r="P30" s="176">
        <f>IF(INGRESOS!$J$5=INGRESOS!$AA$3,0,($AF30+$AG30*2)*$AI30*$B$22+$AH30*$AJ30*$AL30)</f>
        <v>0</v>
      </c>
      <c r="Q30" s="175">
        <f>IF(INGRESOS!$J$5=INGRESOS!$AA$3,0,IF(INGRESOS!$J$5=INGRESOS!$AA$2,0,($AF30+$AG30*2+$AH30)*$AI30))</f>
        <v>0</v>
      </c>
      <c r="R30" s="176">
        <f>IF(INGRESOS!$J$5=INGRESOS!$AA$3,0,IF(INGRESOS!$J$5=INGRESOS!$AA$2,0,($AF30+$AG30*2)*$AI30*$B$22+$AH30*$AJ30*$AL30))</f>
        <v>0</v>
      </c>
      <c r="S30" s="175">
        <f>IF(INGRESOS!$J$5=INGRESOS!$AA$3,0,($AF30+$AG30*2+$AH30)*$AI30)</f>
        <v>0</v>
      </c>
      <c r="T30" s="176">
        <f>IF(INGRESOS!$J$5=INGRESOS!$AA$3,0,($AF30+$AG30*2)*$AI30*$B$22+$AH30*$AJ30*$AL30)</f>
        <v>0</v>
      </c>
      <c r="U30" s="175">
        <f>IF(INGRESOS!$J$5=INGRESOS!$AA$3,0,IF(INGRESOS!$J$5=INGRESOS!$AA$2,0,($AF30+$AG30*2+$AH30)*$AI30))</f>
        <v>0</v>
      </c>
      <c r="V30" s="176">
        <f>IF(INGRESOS!$J$5=INGRESOS!$AA$3,0,IF(INGRESOS!$J$5=INGRESOS!$AA$2,0,($AF30+$AG30*2)*$AI30*$B$22+$AH30*$AJ30*$AL30))</f>
        <v>0</v>
      </c>
      <c r="W30" s="175">
        <f>IF(INGRESOS!$J$5=INGRESOS!$AA$3,0,($AF30+$AG30*2+$AH30)*$AI30)</f>
        <v>0</v>
      </c>
      <c r="X30" s="176">
        <f>IF(INGRESOS!$J$5=INGRESOS!$AA$3,0,($AF30+$AG30*2)*$AI30*$B$22+$AH30*$AJ30*$AL30)</f>
        <v>0</v>
      </c>
      <c r="Y30" s="175">
        <f>IF(INGRESOS!$J$5=INGRESOS!$AA$3,0,IF(INGRESOS!$J$5=INGRESOS!$AA$2,0,($AF30+$AG30*2+$AH30)*$AI30))</f>
        <v>0</v>
      </c>
      <c r="Z30" s="176">
        <f>IF(INGRESOS!$J$5=INGRESOS!$AA$3,0,IF(INGRESOS!$J$5=INGRESOS!$AA$2,0,($AF30+$AG30*2)*$AI30*$B$22+$AH30*$AJ30*$AL30))</f>
        <v>0</v>
      </c>
      <c r="AA30" s="175">
        <f>IF(INGRESOS!$J$5=INGRESOS!$AA$3,0,($AF30+$AG30*2+$AH30)*$AI30)</f>
        <v>0</v>
      </c>
      <c r="AB30" s="176">
        <f>IF(INGRESOS!$J$5=INGRESOS!$AA$3,0,($AF30+$AG30*2)*$AI30*$B$22+$AH30*$AJ30*$AL30)</f>
        <v>0</v>
      </c>
      <c r="AC30" s="175">
        <f>IF(INGRESOS!$J$5=INGRESOS!$AA$3,0,IF(INGRESOS!$J$5=INGRESOS!$AA$2,0,($AF30+$AG30*2+$AH30)*$AI30))</f>
        <v>0</v>
      </c>
      <c r="AD30" s="176">
        <f>IF(INGRESOS!$J$5=INGRESOS!$AA$3,0,IF(INGRESOS!$J$5=INGRESOS!$AA$2,0,($AF30+$AG30*2)*$AI30*$B$22+$AH30*$AJ30*$AL30))</f>
        <v>0</v>
      </c>
      <c r="AF30" s="303">
        <f>SUM(Malla!$F$36:$F$43)-AH30-AG30</f>
        <v>0</v>
      </c>
      <c r="AG30" s="343">
        <f>SUMIF(Malla!$E$36:$E$43,Malla!$AB$5,Malla!$F$36:$F$43)</f>
        <v>0</v>
      </c>
      <c r="AH30" s="196">
        <f>SUMIF(Malla!$D$36:$D$43,Malla!$AA$6,Malla!$F$36:$F$43)</f>
        <v>0</v>
      </c>
      <c r="AI30" s="180">
        <f>ROUNDUP(IF($G9=0,0,$G9/$AI$23),0)</f>
        <v>0</v>
      </c>
      <c r="AJ30" s="309"/>
      <c r="AK30" s="305"/>
      <c r="AL30" s="181">
        <f>ROUNDUP(IF(AH30&gt;0,G9/AK30,0),0)</f>
        <v>0</v>
      </c>
      <c r="AN30" s="303">
        <f>SUM(Malla!$R$36:$R$43)-AP30-AO30</f>
        <v>0</v>
      </c>
      <c r="AO30" s="343">
        <f>SUMIF(Malla!$Q$36:$Q$43,Malla!$AB$5,Malla!$R$36:$R$43)</f>
        <v>0</v>
      </c>
      <c r="AP30" s="196">
        <f>SUMIF(Malla!$P$36:$P$43,Malla!$AA$6,Malla!$R$36:$R$43)</f>
        <v>0</v>
      </c>
      <c r="AQ30" s="180">
        <f>IF(INGRESOS!$J$25&gt;=INGRESOS!$X34,AQ29,0)</f>
        <v>0</v>
      </c>
      <c r="AR30" s="178"/>
      <c r="AS30" s="179"/>
      <c r="AT30" s="181">
        <f>ROUNDUP(IF(AP30&gt;0,G9/AS30,0),0)</f>
        <v>0</v>
      </c>
    </row>
    <row r="31" spans="2:46" s="177" customFormat="1" ht="24" customHeight="1" thickBot="1" x14ac:dyDescent="0.3">
      <c r="B31" s="182" t="str">
        <f t="shared" si="2"/>
        <v>Sexto</v>
      </c>
      <c r="C31" s="214">
        <f>IF(INGRESOS!$J$5=INGRESOS!$AA$3,0,IF(INGRESOS!$J$5=INGRESOS!$AA$2,0,($AN31+$AO31*2+$AP31)*$AQ31))</f>
        <v>0</v>
      </c>
      <c r="D31" s="215">
        <f>IF(INGRESOS!$J$5=INGRESOS!$AA$3,0,IF(C31=0,0,IF(INGRESOS!$J$5=INGRESOS!$AA$2,0,($AN31+$AO31*2)*$AQ31*$B$22+$AP31*$AR31*$AT31)))</f>
        <v>0</v>
      </c>
      <c r="E31" s="214">
        <f>IF(INGRESOS!$J$5=INGRESOS!$AA$3,0,($AN31+$AO31*2+$AP31)*$AQ31)</f>
        <v>0</v>
      </c>
      <c r="F31" s="215">
        <f>IF(INGRESOS!$J$5=INGRESOS!$AA$3,0,IF(E31=0,0,($AN31+$AO31*2)*$AQ31*$B$22+$AP31*$AR31*$AT31))</f>
        <v>0</v>
      </c>
      <c r="G31" s="214">
        <f>IF(INGRESOS!$J$5=INGRESOS!$AA$3,0,IF(INGRESOS!$J$5=INGRESOS!$AA$2,0,($AN31+$AO31*2+$AP31)*$AQ31))</f>
        <v>0</v>
      </c>
      <c r="H31" s="215">
        <f>IF(INGRESOS!$J$5=INGRESOS!$AA$3,0,IF(G31=0,0,IF(INGRESOS!$J$5=INGRESOS!$AA$2,0,($AN31+$AO31*2)*$AQ31*$B$22+$AP31*$AR31*$AT31)))</f>
        <v>0</v>
      </c>
      <c r="I31" s="214">
        <f>IF(INGRESOS!$J$5=INGRESOS!$AA$3,0,($AN31+$AO31*2+$AP31)*$AQ31)</f>
        <v>0</v>
      </c>
      <c r="J31" s="215">
        <f>IF(INGRESOS!$J$5=INGRESOS!$AA$3,0,IF(I31=0,0,($AN31+$AO31*2)*$AQ31*$B$22+$AP31*$AR31*$AT31))</f>
        <v>0</v>
      </c>
      <c r="K31" s="214">
        <f>IF(INGRESOS!$J$5=INGRESOS!$AA$3,0,IF(INGRESOS!$J$5=INGRESOS!$AA$2,0,($AN31+$AO31*2+$AP31)*$AQ31))</f>
        <v>0</v>
      </c>
      <c r="L31" s="215">
        <f>IF(INGRESOS!$J$5=INGRESOS!$AA$3,0,IF(K31=0,0,IF(INGRESOS!$J$5=INGRESOS!$AA$2,0,($AN31+$AO31*2)*$AQ31*$B$22+$AP31*$AR31*$AT31)))</f>
        <v>0</v>
      </c>
      <c r="M31" s="212">
        <f t="shared" ref="M31" si="3">($AF31+$AG31*2+$AH31)*$AI31</f>
        <v>0</v>
      </c>
      <c r="N31" s="213">
        <f t="shared" ref="N31" si="4">($AF31+$AG31*2)*$AI31*$B$22+$AH31*$AJ31*$AL31</f>
        <v>0</v>
      </c>
      <c r="O31" s="183">
        <f>IF(INGRESOS!$J$5=INGRESOS!$AA$3,0,IF(INGRESOS!$J$5=INGRESOS!$AA$2,0,($AF31+$AG31*2+$AH31)*$AI31))</f>
        <v>0</v>
      </c>
      <c r="P31" s="184">
        <f>IF(INGRESOS!$J$5=INGRESOS!$AA$3,0,IF(INGRESOS!$J$5=INGRESOS!$AA$2,0,($AF31+$AG31*2)*$AI31*$B$22+$AH31*$AJ31*$AL31))</f>
        <v>0</v>
      </c>
      <c r="Q31" s="183">
        <f>IF(INGRESOS!$J$5=INGRESOS!$AA$3,0,($AF31+$AG31*2+$AH31)*$AI31)</f>
        <v>0</v>
      </c>
      <c r="R31" s="184">
        <f>IF(INGRESOS!$J$5=INGRESOS!$AA$3,0,($AF31+$AG31*2)*$AI31*$B$22+$AH31*$AJ31*$AL31)</f>
        <v>0</v>
      </c>
      <c r="S31" s="183">
        <f>IF(INGRESOS!$J$5=INGRESOS!$AA$3,0,IF(INGRESOS!$J$5=INGRESOS!$AA$2,0,($AF31+$AG31*2+$AH31)*$AI31))</f>
        <v>0</v>
      </c>
      <c r="T31" s="184">
        <f>IF(INGRESOS!$J$5=INGRESOS!$AA$3,0,IF(INGRESOS!$J$5=INGRESOS!$AA$2,0,($AF31+$AG31*2)*$AI31*$B$22+$AH31*$AJ31*$AL31))</f>
        <v>0</v>
      </c>
      <c r="U31" s="183">
        <f>IF(INGRESOS!$J$5=INGRESOS!$AA$3,0,($AF31+$AG31*2+$AH31)*$AI31)</f>
        <v>0</v>
      </c>
      <c r="V31" s="184">
        <f>IF(INGRESOS!$J$5=INGRESOS!$AA$3,0,($AF31+$AG31*2)*$AI31*$B$22+$AH31*$AJ31*$AL31)</f>
        <v>0</v>
      </c>
      <c r="W31" s="183">
        <f>IF(INGRESOS!$J$5=INGRESOS!$AA$3,0,IF(INGRESOS!$J$5=INGRESOS!$AA$2,0,($AF31+$AG31*2+$AH31)*$AI31))</f>
        <v>0</v>
      </c>
      <c r="X31" s="184">
        <f>IF(INGRESOS!$J$5=INGRESOS!$AA$3,0,IF(INGRESOS!$J$5=INGRESOS!$AA$2,0,($AF31+$AG31*2)*$AI31*$B$22+$AH31*$AJ31*$AL31))</f>
        <v>0</v>
      </c>
      <c r="Y31" s="183">
        <f>IF(INGRESOS!$J$5=INGRESOS!$AA$3,0,($AF31+$AG31*2+$AH31)*$AI31)</f>
        <v>0</v>
      </c>
      <c r="Z31" s="184">
        <f>IF(INGRESOS!$J$5=INGRESOS!$AA$3,0,($AF31+$AG31*2)*$AI31*$B$22+$AH31*$AJ31*$AL31)</f>
        <v>0</v>
      </c>
      <c r="AA31" s="183">
        <f>IF(INGRESOS!$J$5=INGRESOS!$AA$3,0,IF(INGRESOS!$J$5=INGRESOS!$AA$2,0,($AF31+$AG31*2+$AH31)*$AI31))</f>
        <v>0</v>
      </c>
      <c r="AB31" s="184">
        <f>IF(INGRESOS!$J$5=INGRESOS!$AA$3,0,IF(INGRESOS!$J$5=INGRESOS!$AA$2,0,($AF31+$AG31*2)*$AI31*$B$22+$AH31*$AJ31*$AL31))</f>
        <v>0</v>
      </c>
      <c r="AC31" s="183">
        <f>IF(INGRESOS!$J$5=INGRESOS!$AA$3,0,($AF31+$AG31*2+$AH31)*$AI31)</f>
        <v>0</v>
      </c>
      <c r="AD31" s="184">
        <f>IF(INGRESOS!$J$5=INGRESOS!$AA$3,0,($AF31+$AG31*2)*$AI31*$B$22+$AH31*$AJ31*$AL31)</f>
        <v>0</v>
      </c>
      <c r="AF31" s="304">
        <f>SUM(Malla!$F$44:$F$51)-AH31-AG31</f>
        <v>0</v>
      </c>
      <c r="AG31" s="344">
        <f>SUMIF(Malla!$E$44:$E$51,Malla!$AB$5,Malla!$F$44:$F$51)</f>
        <v>0</v>
      </c>
      <c r="AH31" s="190">
        <f>SUMIF(Malla!$D$44:$D$51,Malla!$AA$6,Malla!$F$44:$F$51)</f>
        <v>0</v>
      </c>
      <c r="AI31" s="192">
        <f>ROUNDUP(IF($H10=0,0,$H10/$AI$23),0)</f>
        <v>0</v>
      </c>
      <c r="AJ31" s="315"/>
      <c r="AK31" s="306"/>
      <c r="AL31" s="193">
        <f>ROUNDUP(IF(AH31&gt;0,H10/AK31,0),0)</f>
        <v>0</v>
      </c>
      <c r="AN31" s="304">
        <f>SUM(Malla!$R$44:$R$51)-AP31-AO31</f>
        <v>0</v>
      </c>
      <c r="AO31" s="344">
        <f>SUMIF(Malla!$Q$44:$Q$51,Malla!$AB$5,Malla!$R$44:$R$51)</f>
        <v>0</v>
      </c>
      <c r="AP31" s="190">
        <f>SUMIF(Malla!$P$44:$P$51,Malla!$AA$6,Malla!$R$44:$R$51)</f>
        <v>0</v>
      </c>
      <c r="AQ31" s="185">
        <f>IF(INGRESOS!$J$25&gt;=INGRESOS!$X35,AQ30,0)</f>
        <v>0</v>
      </c>
      <c r="AR31" s="199"/>
      <c r="AS31" s="191"/>
      <c r="AT31" s="193">
        <f>ROUNDUP(IF(AP31&gt;0,H10/AS31,0),0)</f>
        <v>0</v>
      </c>
    </row>
    <row r="32" spans="2:46" s="177" customFormat="1" ht="24" customHeight="1" x14ac:dyDescent="0.25">
      <c r="B32" s="174" t="str">
        <f t="shared" si="2"/>
        <v>Septimo</v>
      </c>
      <c r="C32" s="175">
        <f>IF(INGRESOS!$J$5=INGRESOS!$AA$3,0,($AN32+$AO32*2+$AP32)*$AQ32)</f>
        <v>0</v>
      </c>
      <c r="D32" s="176">
        <f>IF(INGRESOS!$J$5=INGRESOS!$AA$3,0,IF(C32=0,0,($AN32+$AO32*2)*$AQ32*$B$22+$AP32*$AR32*$AT32))</f>
        <v>0</v>
      </c>
      <c r="E32" s="175">
        <f>IF(INGRESOS!$J$5=INGRESOS!$AA$3,0,IF(INGRESOS!$J$5=INGRESOS!$AA$2,0,($AN32+$AO32*2+$AP32)*$AQ32))</f>
        <v>0</v>
      </c>
      <c r="F32" s="176">
        <f>IF(INGRESOS!$J$5=INGRESOS!$AA$3,0,IF(E32=0,0,($AN32+$AO32*2)*$AQ32*$B$22+$AP32*$AR32*$AT32))</f>
        <v>0</v>
      </c>
      <c r="G32" s="175">
        <f>IF(INGRESOS!$J$5=INGRESOS!$AA$3,0,($AN32+$AO32*2+$AP32)*$AQ32)</f>
        <v>0</v>
      </c>
      <c r="H32" s="176">
        <f>IF(INGRESOS!$J$5=INGRESOS!$AA$3,0,IF(G32=0,0,($AN32+$AO32*2)*$AQ32*$B$22+$AP32*$AR32*$AT32))</f>
        <v>0</v>
      </c>
      <c r="I32" s="175">
        <f>IF(INGRESOS!$J$5=INGRESOS!$AA$3,0,IF(INGRESOS!$J$5=INGRESOS!$AA$2,0,($AN32+$AO32*2+$AP32)*$AQ32))</f>
        <v>0</v>
      </c>
      <c r="J32" s="176">
        <f>IF(INGRESOS!$J$5=INGRESOS!$AA$3,0,IF(I32=0,0,($AN32+$AO32*2)*$AQ32*$B$22+$AP32*$AR32*$AT32))</f>
        <v>0</v>
      </c>
      <c r="K32" s="175">
        <f>IF(INGRESOS!$J$5=INGRESOS!$AA$3,0,($AN32+$AO32*2+$AP32)*$AQ32)</f>
        <v>0</v>
      </c>
      <c r="L32" s="176">
        <f>IF(INGRESOS!$J$5=INGRESOS!$AA$3,0,IF(K32=0,0,($AN32+$AO32*2)*$AQ32*$B$22+$AP32*$AR32*$AT32))</f>
        <v>0</v>
      </c>
      <c r="M32" s="175">
        <f>IF(INGRESOS!$J$5=INGRESOS!$AA$3,0,IF(INGRESOS!$J$5=INGRESOS!$AA$2,0,($AN32+$AO32*2+$AP32)*$AQ32))</f>
        <v>0</v>
      </c>
      <c r="N32" s="176">
        <f>IF(INGRESOS!$J$5=INGRESOS!$AA$3,0,IF(M32=0,0,($AN32+$AO32*2)*$AQ32*$B$22+$AP32*$AR32*$AT32))</f>
        <v>0</v>
      </c>
      <c r="O32" s="210">
        <f t="shared" ref="O32" si="5">($AF32+$AG32*2+$AH32)*$AI32</f>
        <v>0</v>
      </c>
      <c r="P32" s="211">
        <f t="shared" ref="P32" si="6">($AF32+$AG32*2)*$AI32*$B$22+$AH32*$AJ32*$AL32</f>
        <v>0</v>
      </c>
      <c r="Q32" s="175">
        <f>IF(INGRESOS!$J$5=INGRESOS!$AA$3,0,IF(INGRESOS!$J$5=INGRESOS!$AA$2,0,($AF32+$AG32*2+$AH32)*$AI32))</f>
        <v>0</v>
      </c>
      <c r="R32" s="176">
        <f>IF(INGRESOS!$J$5=INGRESOS!$AA$3,0,IF(INGRESOS!$J$5=INGRESOS!$AA$2,0,($AF32+$AG32*2)*$AI32*$B$22+$AH32*$AJ32*$AL32))</f>
        <v>0</v>
      </c>
      <c r="S32" s="175">
        <f>IF(INGRESOS!$J$5=INGRESOS!$AA$3,0,($AF32+$AG32*2+$AH32)*$AI32)</f>
        <v>0</v>
      </c>
      <c r="T32" s="176">
        <f>IF(INGRESOS!$J$5=INGRESOS!$AA$3,0,($AF32+$AG32*2)*$AI32*$B$22+$AH32*$AJ32*$AL32)</f>
        <v>0</v>
      </c>
      <c r="U32" s="175">
        <f>IF(INGRESOS!$J$5=INGRESOS!$AA$3,0,IF(INGRESOS!$J$5=INGRESOS!$AA$2,0,($AF32+$AG32*2+$AH32)*$AI32))</f>
        <v>0</v>
      </c>
      <c r="V32" s="176">
        <f>IF(INGRESOS!$J$5=INGRESOS!$AA$3,0,IF(INGRESOS!$J$5=INGRESOS!$AA$2,0,($AF32+$AG32*2)*$AI32*$B$22+$AH32*$AJ32*$AL32))</f>
        <v>0</v>
      </c>
      <c r="W32" s="175">
        <f>IF(INGRESOS!$J$5=INGRESOS!$AA$3,0,($AF32+$AG32*2+$AH32)*$AI32)</f>
        <v>0</v>
      </c>
      <c r="X32" s="176">
        <f>IF(INGRESOS!$J$5=INGRESOS!$AA$3,0,($AF32+$AG32*2)*$AI32*$B$22+$AH32*$AJ32*$AL32)</f>
        <v>0</v>
      </c>
      <c r="Y32" s="175">
        <f>IF(INGRESOS!$J$5=INGRESOS!$AA$3,0,IF(INGRESOS!$J$5=INGRESOS!$AA$2,0,($AF32+$AG32*2+$AH32)*$AI32))</f>
        <v>0</v>
      </c>
      <c r="Z32" s="176">
        <f>IF(INGRESOS!$J$5=INGRESOS!$AA$3,0,IF(INGRESOS!$J$5=INGRESOS!$AA$2,0,($AF32+$AG32*2)*$AI32*$B$22+$AH32*$AJ32*$AL32))</f>
        <v>0</v>
      </c>
      <c r="AA32" s="175">
        <f>IF(INGRESOS!$J$5=INGRESOS!$AA$3,0,($AF32+$AG32*2+$AH32)*$AI32)</f>
        <v>0</v>
      </c>
      <c r="AB32" s="176">
        <f>IF(INGRESOS!$J$5=INGRESOS!$AA$3,0,($AF32+$AG32*2)*$AI32*$B$22+$AH32*$AJ32*$AL32)</f>
        <v>0</v>
      </c>
      <c r="AC32" s="175">
        <f>IF(INGRESOS!$J$5=INGRESOS!$AA$3,0,IF(INGRESOS!$J$5=INGRESOS!$AA$2,0,($AF32+$AG32*2+$AH32)*$AI32))</f>
        <v>0</v>
      </c>
      <c r="AD32" s="176">
        <f>IF(INGRESOS!$J$5=INGRESOS!$AA$3,0,IF(INGRESOS!$J$5=INGRESOS!$AA$2,0,($AF32+$AG32*2)*$AI32*$B$22+$AH32*$AJ32*$AL32))</f>
        <v>0</v>
      </c>
      <c r="AF32" s="303">
        <f>SUM(Malla!$F$52:$F$59)-AH32-AG32</f>
        <v>0</v>
      </c>
      <c r="AG32" s="343">
        <f>SUMIF(Malla!$E$52:$E$59,Malla!$AB$5,Malla!$F$52:$F$59)</f>
        <v>0</v>
      </c>
      <c r="AH32" s="196">
        <f>SUMIF(Malla!$D$52:$D$59,Malla!$AA$6,Malla!$F$52:$F$59)</f>
        <v>0</v>
      </c>
      <c r="AI32" s="180">
        <f>ROUNDUP(IF($I11=0,0,$I11/$AI$23),0)</f>
        <v>0</v>
      </c>
      <c r="AJ32" s="312"/>
      <c r="AK32" s="307"/>
      <c r="AL32" s="196">
        <f>ROUNDUP(IF(AH32&gt;0,I11/AK32,0),0)</f>
        <v>0</v>
      </c>
      <c r="AN32" s="303">
        <f>SUM(Malla!$R$52:$R$59)-AP32-AO32</f>
        <v>0</v>
      </c>
      <c r="AO32" s="343">
        <f>SUMIF(Malla!$Q$52:$Q$59,Malla!$AB$5,Malla!$R$52:$R$59)</f>
        <v>0</v>
      </c>
      <c r="AP32" s="196">
        <f>SUMIF(Malla!$P$52:$P$59,Malla!$AA$6,Malla!$R$52:$R$59)</f>
        <v>0</v>
      </c>
      <c r="AQ32" s="180">
        <f>IF(INGRESOS!$J$25&gt;=INGRESOS!$X36,AQ31,0)</f>
        <v>0</v>
      </c>
      <c r="AR32" s="194"/>
      <c r="AS32" s="195"/>
      <c r="AT32" s="196">
        <f>ROUNDUP(IF(AP32&gt;0,I11/AS32,0),0)</f>
        <v>0</v>
      </c>
    </row>
    <row r="33" spans="2:46" s="177" customFormat="1" ht="24" customHeight="1" thickBot="1" x14ac:dyDescent="0.3">
      <c r="B33" s="182" t="str">
        <f t="shared" si="2"/>
        <v>Octavo</v>
      </c>
      <c r="C33" s="214">
        <f>IF(INGRESOS!$J$5=INGRESOS!$AA$3,0,IF(INGRESOS!$J$5=INGRESOS!$AA$2,0,($AN33+$AO33*2+$AP33)*$AQ33))</f>
        <v>0</v>
      </c>
      <c r="D33" s="215">
        <f>IF(INGRESOS!$J$5=INGRESOS!$AA$3,0,IF(C33=0,0,IF(INGRESOS!$J$5=INGRESOS!$AA$2,0,($AN33+$AO33*2)*$AQ33*$B$22+$AP33*$AR33*$AT33)))</f>
        <v>0</v>
      </c>
      <c r="E33" s="214">
        <f>IF(INGRESOS!$J$5=INGRESOS!$AA$3,0,($AN33+$AO33*2+$AP33)*$AQ33)</f>
        <v>0</v>
      </c>
      <c r="F33" s="215">
        <f>IF(INGRESOS!$J$5=INGRESOS!$AA$3,0,IF(E33=0,0,($AN33+$AO33*2)*$AQ33*$B$22+$AP33*$AR33*$AT33))</f>
        <v>0</v>
      </c>
      <c r="G33" s="214">
        <f>IF(INGRESOS!$J$5=INGRESOS!$AA$3,0,IF(INGRESOS!$J$5=INGRESOS!$AA$2,0,($AN33+$AO33*2+$AP33)*$AQ33))</f>
        <v>0</v>
      </c>
      <c r="H33" s="215">
        <f>IF(INGRESOS!$J$5=INGRESOS!$AA$3,0,IF(G33=0,0,IF(INGRESOS!$J$5=INGRESOS!$AA$2,0,($AN33+$AO33*2)*$AQ33*$B$22+$AP33*$AR33*$AT33)))</f>
        <v>0</v>
      </c>
      <c r="I33" s="214">
        <f>IF(INGRESOS!$J$5=INGRESOS!$AA$3,0,($AN33+$AO33*2+$AP33)*$AQ33)</f>
        <v>0</v>
      </c>
      <c r="J33" s="215">
        <f>IF(INGRESOS!$J$5=INGRESOS!$AA$3,0,IF(I33=0,0,($AN33+$AO33*2)*$AQ33*$B$22+$AP33*$AR33*$AT33))</f>
        <v>0</v>
      </c>
      <c r="K33" s="214">
        <f>IF(INGRESOS!$J$5=INGRESOS!$AA$3,0,IF(INGRESOS!$J$5=INGRESOS!$AA$2,0,($AN33+$AO33*2+$AP33)*$AQ33))</f>
        <v>0</v>
      </c>
      <c r="L33" s="215">
        <f>IF(INGRESOS!$J$5=INGRESOS!$AA$3,0,IF(K33=0,0,IF(INGRESOS!$J$5=INGRESOS!$AA$2,0,($AN33+$AO33*2)*$AQ33*$B$22+$AP33*$AR33*$AT33)))</f>
        <v>0</v>
      </c>
      <c r="M33" s="214">
        <f>IF(INGRESOS!$J$5=INGRESOS!$AA$3,0,($AN33+$AO33*2+$AP33)*$AQ33)</f>
        <v>0</v>
      </c>
      <c r="N33" s="215">
        <f>IF(INGRESOS!$J$5=INGRESOS!$AA$3,0,IF(M33=0,0,($AN33+$AO33*2)*$AQ33*$B$22+$AP33*$AR33*$AT33))</f>
        <v>0</v>
      </c>
      <c r="O33" s="214">
        <f>IF(INGRESOS!$J$5=INGRESOS!$AA$3,0,IF(INGRESOS!$J$5=INGRESOS!$AA$2,0,($AN33+$AO33*2+$AP33)*$AQ33))</f>
        <v>0</v>
      </c>
      <c r="P33" s="215">
        <f>IF(INGRESOS!$J$5=INGRESOS!$AA$3,0,IF(O33=0,0,IF(INGRESOS!$J$5=INGRESOS!$AA$2,0,($AN33+$AO33*2)*$AQ33*$B$22+$AP33*$AR33*$AT33)))</f>
        <v>0</v>
      </c>
      <c r="Q33" s="212">
        <f t="shared" ref="Q33" si="7">($AF33+$AG33*2+$AH33)*$AI33</f>
        <v>0</v>
      </c>
      <c r="R33" s="213">
        <f t="shared" ref="R33" si="8">($AF33+$AG33*2)*$AI33*$B$22+$AH33*$AJ33*$AL33</f>
        <v>0</v>
      </c>
      <c r="S33" s="183">
        <f>IF(INGRESOS!$J$5=INGRESOS!$AA$3,0,IF(INGRESOS!$J$5=INGRESOS!$AA$2,0,($AF33+$AG33*2+$AH33)*$AI33))</f>
        <v>0</v>
      </c>
      <c r="T33" s="184">
        <f>IF(INGRESOS!$J$5=INGRESOS!$AA$3,0,IF(INGRESOS!$J$5=INGRESOS!$AA$2,0,($AF33+$AG33*2)*$AI33*$B$22+$AH33*$AJ33*$AL33))</f>
        <v>0</v>
      </c>
      <c r="U33" s="183">
        <f>IF(INGRESOS!$J$5=INGRESOS!$AA$3,0,($AF33+$AG33*2+$AH33)*$AI33)</f>
        <v>0</v>
      </c>
      <c r="V33" s="184">
        <f>IF(INGRESOS!$J$5=INGRESOS!$AA$3,0,($AF33+$AG33*2)*$AI33*$B$22+$AH33*$AJ33*$AL33)</f>
        <v>0</v>
      </c>
      <c r="W33" s="183">
        <f>IF(INGRESOS!$J$5=INGRESOS!$AA$3,0,IF(INGRESOS!$J$5=INGRESOS!$AA$2,0,($AF33+$AG33*2+$AH33)*$AI33))</f>
        <v>0</v>
      </c>
      <c r="X33" s="184">
        <f>IF(INGRESOS!$J$5=INGRESOS!$AA$3,0,IF(INGRESOS!$J$5=INGRESOS!$AA$2,0,($AF33+$AG33*2)*$AI33*$B$22+$AH33*$AJ33*$AL33))</f>
        <v>0</v>
      </c>
      <c r="Y33" s="183">
        <f>IF(INGRESOS!$J$5=INGRESOS!$AA$3,0,($AF33+$AG33*2+$AH33)*$AI33)</f>
        <v>0</v>
      </c>
      <c r="Z33" s="184">
        <f>IF(INGRESOS!$J$5=INGRESOS!$AA$3,0,($AF33+$AG33*2)*$AI33*$B$22+$AH33*$AJ33*$AL33)</f>
        <v>0</v>
      </c>
      <c r="AA33" s="183">
        <f>IF(INGRESOS!$J$5=INGRESOS!$AA$3,0,IF(INGRESOS!$J$5=INGRESOS!$AA$2,0,($AF33+$AG33*2+$AH33)*$AI33))</f>
        <v>0</v>
      </c>
      <c r="AB33" s="184">
        <f>IF(INGRESOS!$J$5=INGRESOS!$AA$3,0,IF(INGRESOS!$J$5=INGRESOS!$AA$2,0,($AF33+$AG33*2)*$AI33*$B$22+$AH33*$AJ33*$AL33))</f>
        <v>0</v>
      </c>
      <c r="AC33" s="183">
        <f>IF(INGRESOS!$J$5=INGRESOS!$AA$3,0,($AF33+$AG33*2+$AH33)*$AI33)</f>
        <v>0</v>
      </c>
      <c r="AD33" s="184">
        <f>IF(INGRESOS!$J$5=INGRESOS!$AA$3,0,($AF33+$AG33*2)*$AI33*$B$22+$AH33*$AJ33*$AL33)</f>
        <v>0</v>
      </c>
      <c r="AF33" s="304">
        <f>SUM(Malla!$F$60:$F$67)-AH33-AG33</f>
        <v>0</v>
      </c>
      <c r="AG33" s="344">
        <f>SUMIF(Malla!$E$60:$E$67,Malla!$AB$5,Malla!$F$60:$F$67)</f>
        <v>0</v>
      </c>
      <c r="AH33" s="190">
        <f>SUMIF(Malla!$D$60:$D$67,Malla!$AA$6,Malla!$F$60:$F$67)</f>
        <v>0</v>
      </c>
      <c r="AI33" s="192">
        <f>ROUNDUP(IF($J12=0,0,$J12/$AI$23),0)</f>
        <v>0</v>
      </c>
      <c r="AJ33" s="316"/>
      <c r="AK33" s="308"/>
      <c r="AL33" s="190">
        <f>ROUNDUP(IF(AH33&gt;0,J12/AK33,0),0)</f>
        <v>0</v>
      </c>
      <c r="AN33" s="304">
        <f>SUM(Malla!$R$60:$R$67)-AP33-AO33</f>
        <v>0</v>
      </c>
      <c r="AO33" s="344">
        <f>SUMIF(Malla!$Q$60:$Q$67,Malla!$AB$5,Malla!$R$60:$R$67)</f>
        <v>0</v>
      </c>
      <c r="AP33" s="190">
        <f>SUMIF(Malla!$P$60:$P$67,Malla!$AA$6,Malla!$R$60:$R$67)</f>
        <v>0</v>
      </c>
      <c r="AQ33" s="185">
        <f>IF(INGRESOS!$J$25&gt;=INGRESOS!$X37,AQ32,0)</f>
        <v>0</v>
      </c>
      <c r="AR33" s="189"/>
      <c r="AS33" s="188"/>
      <c r="AT33" s="190">
        <f>ROUNDUP(IF(AP33&gt;0,J12/AS33,0),0)</f>
        <v>0</v>
      </c>
    </row>
    <row r="34" spans="2:46" s="177" customFormat="1" ht="24" customHeight="1" x14ac:dyDescent="0.25">
      <c r="B34" s="186" t="str">
        <f t="shared" si="2"/>
        <v>Noveno</v>
      </c>
      <c r="C34" s="175">
        <f>IF(INGRESOS!$J$5=INGRESOS!$AA$3,0,($AN34+$AO34*2+$AP34)*$AQ34)</f>
        <v>0</v>
      </c>
      <c r="D34" s="176">
        <f>IF(INGRESOS!$J$5=INGRESOS!$AA$3,0,IF(C34=0,0,($AN34+$AO34*2)*$AQ34*$B$22+$AP34*$AR34*$AT34))</f>
        <v>0</v>
      </c>
      <c r="E34" s="175">
        <f>IF(INGRESOS!$J$5=INGRESOS!$AA$3,0,IF(INGRESOS!$J$5=INGRESOS!$AA$2,0,($AN34+$AO34*2+$AP34)*$AQ34))</f>
        <v>0</v>
      </c>
      <c r="F34" s="176">
        <f>IF(INGRESOS!$J$5=INGRESOS!$AA$3,0,IF(E34=0,0,($AN34+$AO34*2)*$AQ34*$B$22+$AP34*$AR34*$AT34))</f>
        <v>0</v>
      </c>
      <c r="G34" s="175">
        <f>IF(INGRESOS!$J$5=INGRESOS!$AA$3,0,($AN34+$AO34*2+$AP34)*$AQ34)</f>
        <v>0</v>
      </c>
      <c r="H34" s="176">
        <f>IF(INGRESOS!$J$5=INGRESOS!$AA$3,0,IF(G34=0,0,($AN34+$AO34*2)*$AQ34*$B$22+$AP34*$AR34*$AT34))</f>
        <v>0</v>
      </c>
      <c r="I34" s="175">
        <f>IF(INGRESOS!$J$5=INGRESOS!$AA$3,0,IF(INGRESOS!$J$5=INGRESOS!$AA$2,0,($AN34+$AO34*2+$AP34)*$AQ34))</f>
        <v>0</v>
      </c>
      <c r="J34" s="176">
        <f>IF(INGRESOS!$J$5=INGRESOS!$AA$3,0,IF(I34=0,0,($AN34+$AO34*2)*$AQ34*$B$22+$AP34*$AR34*$AT34))</f>
        <v>0</v>
      </c>
      <c r="K34" s="175">
        <f>IF(INGRESOS!$J$5=INGRESOS!$AA$3,0,($AN34+$AO34*2+$AP34)*$AQ34)</f>
        <v>0</v>
      </c>
      <c r="L34" s="176">
        <f>IF(INGRESOS!$J$5=INGRESOS!$AA$3,0,IF(K34=0,0,($AN34+$AO34*2)*$AQ34*$B$22+$AP34*$AR34*$AT34))</f>
        <v>0</v>
      </c>
      <c r="M34" s="175">
        <f>IF(INGRESOS!$J$5=INGRESOS!$AA$3,0,IF(INGRESOS!$J$5=INGRESOS!$AA$2,0,($AN34+$AO34*2+$AP34)*$AQ34))</f>
        <v>0</v>
      </c>
      <c r="N34" s="176">
        <f>IF(INGRESOS!$J$5=INGRESOS!$AA$3,0,IF(M34=0,0,($AN34+$AO34*2)*$AQ34*$B$22+$AP34*$AR34*$AT34))</f>
        <v>0</v>
      </c>
      <c r="O34" s="175">
        <f>IF(INGRESOS!$J$5=INGRESOS!$AA$3,0,($AN34+$AO34*2+$AP34)*$AQ34)</f>
        <v>0</v>
      </c>
      <c r="P34" s="176">
        <f>IF(INGRESOS!$J$5=INGRESOS!$AA$3,0,IF(O34=0,0,($AN34+$AO34*2)*$AQ34*$B$22+$AP34*$AR34*$AT34))</f>
        <v>0</v>
      </c>
      <c r="Q34" s="175">
        <f>IF(INGRESOS!$J$5=INGRESOS!$AA$3,0,IF(INGRESOS!$J$5=INGRESOS!$AA$2,0,($AN34+$AO34*2+$AP34)*$AQ34))</f>
        <v>0</v>
      </c>
      <c r="R34" s="176">
        <f>IF(INGRESOS!$J$5=INGRESOS!$AA$3,0,IF(Q34=0,0,($AN34+$AO34*2)*$AQ34*$B$22+$AP34*$AR34*$AT34))</f>
        <v>0</v>
      </c>
      <c r="S34" s="210">
        <f t="shared" ref="S34" si="9">($AF34+$AG34*2+$AH34)*$AI34</f>
        <v>0</v>
      </c>
      <c r="T34" s="211">
        <f t="shared" ref="T34" si="10">($AF34+$AG34*2)*$AI34*$B$22+$AH34*$AJ34*$AL34</f>
        <v>0</v>
      </c>
      <c r="U34" s="175">
        <f>IF(INGRESOS!$J$5=INGRESOS!$AA$3,0,IF(INGRESOS!$J$5=INGRESOS!$AA$2,0,($AF34+$AG34*2+$AH34)*$AI34))</f>
        <v>0</v>
      </c>
      <c r="V34" s="176">
        <f>IF(INGRESOS!$J$5=INGRESOS!$AA$3,0,IF(INGRESOS!$J$5=INGRESOS!$AA$2,0,($AF34+$AG34*2)*$AI34*$B$22+$AH34*$AJ34*$AL34))</f>
        <v>0</v>
      </c>
      <c r="W34" s="175">
        <f>IF(INGRESOS!$J$5=INGRESOS!$AA$3,0,($AF34+$AG34*2+$AH34)*$AI34)</f>
        <v>0</v>
      </c>
      <c r="X34" s="176">
        <f>IF(INGRESOS!$J$5=INGRESOS!$AA$3,0,($AF34+$AG34*2)*$AI34*$B$22+$AH34*$AJ34*$AL34)</f>
        <v>0</v>
      </c>
      <c r="Y34" s="175">
        <f>IF(INGRESOS!$J$5=INGRESOS!$AA$3,0,IF(INGRESOS!$J$5=INGRESOS!$AA$2,0,($AF34+$AG34*2+$AH34)*$AI34))</f>
        <v>0</v>
      </c>
      <c r="Z34" s="176">
        <f>IF(INGRESOS!$J$5=INGRESOS!$AA$3,0,IF(INGRESOS!$J$5=INGRESOS!$AA$2,0,($AF34+$AG34*2)*$AI34*$B$22+$AH34*$AJ34*$AL34))</f>
        <v>0</v>
      </c>
      <c r="AA34" s="175">
        <f>IF(INGRESOS!$J$5=INGRESOS!$AA$3,0,($AF34+$AG34*2+$AH34)*$AI34)</f>
        <v>0</v>
      </c>
      <c r="AB34" s="176">
        <f>IF(INGRESOS!$J$5=INGRESOS!$AA$3,0,($AF34+$AG34*2)*$AI34*$B$22+$AH34*$AJ34*$AL34)</f>
        <v>0</v>
      </c>
      <c r="AC34" s="175">
        <f>IF(INGRESOS!$J$5=INGRESOS!$AA$3,0,IF(INGRESOS!$J$5=INGRESOS!$AA$2,0,($AF34+$AG34*2+$AH34)*$AI34))</f>
        <v>0</v>
      </c>
      <c r="AD34" s="176">
        <f>IF(INGRESOS!$J$5=INGRESOS!$AA$3,0,IF(INGRESOS!$J$5=INGRESOS!$AA$2,0,($AF34+$AG34*2)*$AI34*$B$22+$AH34*$AJ34*$AL34))</f>
        <v>0</v>
      </c>
      <c r="AF34" s="303">
        <f>SUM(Malla!$F$68:$F$75)-AH34-AG34</f>
        <v>0</v>
      </c>
      <c r="AG34" s="343">
        <f>SUMIF(Malla!$E$68:$E$75,Malla!$AB$5,Malla!$F$68:$F$75)</f>
        <v>0</v>
      </c>
      <c r="AH34" s="196">
        <f>SUMIF(Malla!$D$68:$D$75,Malla!$AA$6,Malla!$F$68:$F$75)</f>
        <v>0</v>
      </c>
      <c r="AI34" s="180">
        <f>ROUNDUP(IF($K13=0,0,$K13/$AI$23),0)</f>
        <v>0</v>
      </c>
      <c r="AJ34" s="309"/>
      <c r="AK34" s="305"/>
      <c r="AL34" s="181">
        <f>ROUNDUP(IF(AH34&gt;0,K13/AK34,0),0)</f>
        <v>0</v>
      </c>
      <c r="AN34" s="303">
        <f>SUM(Malla!$R$68:$R$75)-AP34-AO34</f>
        <v>0</v>
      </c>
      <c r="AO34" s="343">
        <f>SUMIF(Malla!$Q$68:$Q$75,Malla!$AB$5,Malla!$R$68:$R$75)</f>
        <v>0</v>
      </c>
      <c r="AP34" s="196">
        <f>SUMIF(Malla!$P$68:$P$75,Malla!$AA$6,Malla!$R$68:$R$75)</f>
        <v>0</v>
      </c>
      <c r="AQ34" s="180">
        <f>IF(INGRESOS!$J$25&gt;=INGRESOS!$X38,AQ33,0)</f>
        <v>0</v>
      </c>
      <c r="AR34" s="178"/>
      <c r="AS34" s="179"/>
      <c r="AT34" s="181">
        <f>ROUNDUP(IF(AP34&gt;0,K13/AS34,0),0)</f>
        <v>0</v>
      </c>
    </row>
    <row r="35" spans="2:46" s="177" customFormat="1" ht="24" customHeight="1" thickBot="1" x14ac:dyDescent="0.3">
      <c r="B35" s="182" t="str">
        <f t="shared" si="2"/>
        <v>Decimo</v>
      </c>
      <c r="C35" s="214">
        <f>IF(INGRESOS!$J$5=INGRESOS!$AA$3,0,IF(INGRESOS!$J$5=INGRESOS!$AA$2,0,($AN35+$AO35*2+$AP35)*$AQ35))</f>
        <v>0</v>
      </c>
      <c r="D35" s="215">
        <f>IF(INGRESOS!$J$5=INGRESOS!$AA$3,0,IF(C35=0,0,IF(INGRESOS!$J$5=INGRESOS!$AA$2,0,($AN35+$AO35*2)*$AQ35*$B$22+$AP35*$AR35*$AT35)))</f>
        <v>0</v>
      </c>
      <c r="E35" s="214">
        <f>IF(INGRESOS!$J$5=INGRESOS!$AA$3,0,($AN35+$AO35*2+$AP35)*$AQ35)</f>
        <v>0</v>
      </c>
      <c r="F35" s="215">
        <f>IF(INGRESOS!$J$5=INGRESOS!$AA$3,0,IF(E35=0,0,($AN35+$AO35*2)*$AQ35*$B$22+$AP35*$AR35*$AT35))</f>
        <v>0</v>
      </c>
      <c r="G35" s="214">
        <f>IF(INGRESOS!$J$5=INGRESOS!$AA$3,0,IF(INGRESOS!$J$5=INGRESOS!$AA$2,0,($AN35+$AO35*2+$AP35)*$AQ35))</f>
        <v>0</v>
      </c>
      <c r="H35" s="215">
        <f>IF(INGRESOS!$J$5=INGRESOS!$AA$3,0,IF(G35=0,0,IF(INGRESOS!$J$5=INGRESOS!$AA$2,0,($AN35+$AO35*2)*$AQ35*$B$22+$AP35*$AR35*$AT35)))</f>
        <v>0</v>
      </c>
      <c r="I35" s="214">
        <f>IF(INGRESOS!$J$5=INGRESOS!$AA$3,0,($AN35+$AO35*2+$AP35)*$AQ35)</f>
        <v>0</v>
      </c>
      <c r="J35" s="215">
        <f>IF(INGRESOS!$J$5=INGRESOS!$AA$3,0,IF(I35=0,0,($AN35+$AO35*2)*$AQ35*$B$22+$AP35*$AR35*$AT35))</f>
        <v>0</v>
      </c>
      <c r="K35" s="214">
        <f>IF(INGRESOS!$J$5=INGRESOS!$AA$3,0,IF(INGRESOS!$J$5=INGRESOS!$AA$2,0,($AN35+$AO35*2+$AP35)*$AQ35))</f>
        <v>0</v>
      </c>
      <c r="L35" s="215">
        <f>IF(INGRESOS!$J$5=INGRESOS!$AA$3,0,IF(K35=0,0,IF(INGRESOS!$J$5=INGRESOS!$AA$2,0,($AN35+$AO35*2)*$AQ35*$B$22+$AP35*$AR35*$AT35)))</f>
        <v>0</v>
      </c>
      <c r="M35" s="214">
        <f>IF(INGRESOS!$J$5=INGRESOS!$AA$3,0,($AN35+$AO35*2+$AP35)*$AQ35)</f>
        <v>0</v>
      </c>
      <c r="N35" s="215">
        <f>IF(INGRESOS!$J$5=INGRESOS!$AA$3,0,IF(M35=0,0,($AN35+$AO35*2)*$AQ35*$B$22+$AP35*$AR35*$AT35))</f>
        <v>0</v>
      </c>
      <c r="O35" s="214">
        <f>IF(INGRESOS!$J$5=INGRESOS!$AA$3,0,IF(INGRESOS!$J$5=INGRESOS!$AA$2,0,($AN35+$AO35*2+$AP35)*$AQ35))</f>
        <v>0</v>
      </c>
      <c r="P35" s="215">
        <f>IF(INGRESOS!$J$5=INGRESOS!$AA$3,0,IF(O35=0,0,IF(INGRESOS!$J$5=INGRESOS!$AA$2,0,($AN35+$AO35*2)*$AQ35*$B$22+$AP35*$AR35*$AT35)))</f>
        <v>0</v>
      </c>
      <c r="Q35" s="214">
        <f>IF(INGRESOS!$J$5=INGRESOS!$AA$3,0,($AN35+$AO35*2+$AP35)*$AQ35)</f>
        <v>0</v>
      </c>
      <c r="R35" s="215">
        <f>IF(INGRESOS!$J$5=INGRESOS!$AA$3,0,IF(Q35=0,0,($AN35+$AO35*2)*$AQ35*$B$22+$AP35*$AR35*$AT35))</f>
        <v>0</v>
      </c>
      <c r="S35" s="214">
        <f>IF(INGRESOS!$J$5=INGRESOS!$AA$3,0,IF(INGRESOS!$J$5=INGRESOS!$AA$2,0,($AN35+$AO35*2+$AP35)*$AQ35))</f>
        <v>0</v>
      </c>
      <c r="T35" s="215">
        <f>IF(INGRESOS!$J$5=INGRESOS!$AA$3,0,IF(S35=0,0,IF(INGRESOS!$J$5=INGRESOS!$AA$2,0,($AN35+$AO35*2)*$AQ35*$B$22+$AP35*$AR35*$AT35)))</f>
        <v>0</v>
      </c>
      <c r="U35" s="212">
        <f t="shared" ref="U35" si="11">($AF35+$AG35*2+$AH35)*$AI35</f>
        <v>0</v>
      </c>
      <c r="V35" s="213">
        <f t="shared" ref="V35" si="12">($AF35+$AG35*2)*$AI35*$B$22+$AH35*$AJ35*$AL35</f>
        <v>0</v>
      </c>
      <c r="W35" s="183">
        <f>IF(INGRESOS!$J$5=INGRESOS!$AA$3,0,IF(INGRESOS!$J$5=INGRESOS!$AA$2,0,($AF35+$AG35*2+$AH35)*$AI35))</f>
        <v>0</v>
      </c>
      <c r="X35" s="184">
        <f>IF(INGRESOS!$J$5=INGRESOS!$AA$3,0,IF(INGRESOS!$J$5=INGRESOS!$AA$2,0,($AF35+$AG35*2)*$AI35*$B$22+$AH35*$AJ35*$AL35))</f>
        <v>0</v>
      </c>
      <c r="Y35" s="183">
        <f>IF(INGRESOS!$J$5=INGRESOS!$AA$3,0,($AF35+$AG35*2+$AH35)*$AI35)</f>
        <v>0</v>
      </c>
      <c r="Z35" s="184">
        <f>IF(INGRESOS!$J$5=INGRESOS!$AA$3,0,($AF35+$AG35*2)*$AI35*$B$22+$AH35*$AJ35*$AL35)</f>
        <v>0</v>
      </c>
      <c r="AA35" s="183">
        <f>IF(INGRESOS!$J$5=INGRESOS!$AA$3,0,IF(INGRESOS!$J$5=INGRESOS!$AA$2,0,($AF35+$AG35*2+$AH35)*$AI35))</f>
        <v>0</v>
      </c>
      <c r="AB35" s="184">
        <f>IF(INGRESOS!$J$5=INGRESOS!$AA$3,0,IF(INGRESOS!$J$5=INGRESOS!$AA$2,0,($AF35+$AG35*2)*$AI35*$B$22+$AH35*$AJ35*$AL35))</f>
        <v>0</v>
      </c>
      <c r="AC35" s="183">
        <f>IF(INGRESOS!$J$5=INGRESOS!$AA$3,0,($AF35+$AG35*2+$AH35)*$AI35)</f>
        <v>0</v>
      </c>
      <c r="AD35" s="184">
        <f>IF(INGRESOS!$J$5=INGRESOS!$AA$3,0,($AF35+$AG35*2)*$AI35*$B$22+$AH35*$AJ35*$AL35)</f>
        <v>0</v>
      </c>
      <c r="AF35" s="304">
        <f>SUM(Malla!$F$76:$F$83)-AH35-AG35</f>
        <v>0</v>
      </c>
      <c r="AG35" s="344">
        <f>SUMIF(Malla!$E$76:$E$83,Malla!$AB$5,Malla!$F$76:$F$83)</f>
        <v>0</v>
      </c>
      <c r="AH35" s="190">
        <f>SUMIF(Malla!$D$76:$D$83,Malla!$AA$6,Malla!$F$76:$F$83)</f>
        <v>0</v>
      </c>
      <c r="AI35" s="320">
        <f>ROUNDUP(IF($L14=0,0,$L14/$AI$23),0)</f>
        <v>0</v>
      </c>
      <c r="AJ35" s="316"/>
      <c r="AK35" s="308"/>
      <c r="AL35" s="190">
        <f>ROUNDUP(IF(AH35&gt;0,L14/AK35,0),0)</f>
        <v>0</v>
      </c>
      <c r="AN35" s="304">
        <f>SUM(Malla!$R$76:$R$83)-AP35-AO35</f>
        <v>0</v>
      </c>
      <c r="AO35" s="344">
        <f>SUMIF(Malla!$Q$76:$Q$83,Malla!$AB$5,Malla!$R$76:$R$83)</f>
        <v>0</v>
      </c>
      <c r="AP35" s="190">
        <f>SUMIF(Malla!$P$76:$P$83,Malla!$AA$6,Malla!$R$76:$R$83)</f>
        <v>0</v>
      </c>
      <c r="AQ35" s="185">
        <f>IF(INGRESOS!$J$25&gt;=INGRESOS!$X39,AQ34,0)</f>
        <v>0</v>
      </c>
      <c r="AR35" s="189"/>
      <c r="AS35" s="188"/>
      <c r="AT35" s="190">
        <f>ROUNDUP(IF(AP35&gt;0,L14/AS35,0),0)</f>
        <v>0</v>
      </c>
    </row>
    <row r="36" spans="2:46" s="177" customFormat="1" ht="24" customHeight="1" x14ac:dyDescent="0.25">
      <c r="B36" s="186" t="str">
        <f t="shared" si="2"/>
        <v>Once</v>
      </c>
      <c r="C36" s="175">
        <f>IF(INGRESOS!$J$5=INGRESOS!$AA$3,0,($AN36+$AO36*2+$AP36)*$AQ36)</f>
        <v>0</v>
      </c>
      <c r="D36" s="176">
        <f>IF(INGRESOS!$J$5=INGRESOS!$AA$3,0,IF(C36=0,0,($AN36+$AO36*2)*$AQ36*$B$22+$AP36*$AR36*$AT36))</f>
        <v>0</v>
      </c>
      <c r="E36" s="175">
        <f>IF(INGRESOS!$J$5=INGRESOS!$AA$3,0,IF(INGRESOS!$J$5=INGRESOS!$AA$2,0,($AN36+$AO36*2+$AP36)*$AQ36))</f>
        <v>0</v>
      </c>
      <c r="F36" s="176">
        <f>IF(INGRESOS!$J$5=INGRESOS!$AA$3,0,IF(E36=0,0,($AN36+$AO36*2)*$AQ36*$B$22+$AP36*$AR36*$AT36))</f>
        <v>0</v>
      </c>
      <c r="G36" s="175">
        <f>IF(INGRESOS!$J$5=INGRESOS!$AA$3,0,($AN36+$AO36*2+$AP36)*$AQ36)</f>
        <v>0</v>
      </c>
      <c r="H36" s="176">
        <f>IF(INGRESOS!$J$5=INGRESOS!$AA$3,0,IF(G36=0,0,($AN36+$AO36*2)*$AQ36*$B$22+$AP36*$AR36*$AT36))</f>
        <v>0</v>
      </c>
      <c r="I36" s="175">
        <f>IF(INGRESOS!$J$5=INGRESOS!$AA$3,0,IF(INGRESOS!$J$5=INGRESOS!$AA$2,0,($AN36+$AO36*2+$AP36)*$AQ36))</f>
        <v>0</v>
      </c>
      <c r="J36" s="176">
        <f>IF(INGRESOS!$J$5=INGRESOS!$AA$3,0,IF(I36=0,0,($AN36+$AO36*2)*$AQ36*$B$22+$AP36*$AR36*$AT36))</f>
        <v>0</v>
      </c>
      <c r="K36" s="175">
        <f>IF(INGRESOS!$J$5=INGRESOS!$AA$3,0,($AN36+$AO36*2+$AP36)*$AQ36)</f>
        <v>0</v>
      </c>
      <c r="L36" s="176">
        <f>IF(INGRESOS!$J$5=INGRESOS!$AA$3,0,IF(K36=0,0,($AN36+$AO36*2)*$AQ36*$B$22+$AP36*$AR36*$AT36))</f>
        <v>0</v>
      </c>
      <c r="M36" s="175">
        <f>IF(INGRESOS!$J$5=INGRESOS!$AA$3,0,IF(INGRESOS!$J$5=INGRESOS!$AA$2,0,($AN36+$AO36*2+$AP36)*$AQ36))</f>
        <v>0</v>
      </c>
      <c r="N36" s="176">
        <f>IF(INGRESOS!$J$5=INGRESOS!$AA$3,0,IF(M36=0,0,($AN36+$AO36*2)*$AQ36*$B$22+$AP36*$AR36*$AT36))</f>
        <v>0</v>
      </c>
      <c r="O36" s="175">
        <f>IF(INGRESOS!$J$5=INGRESOS!$AA$3,0,($AN36+$AO36*2+$AP36)*$AQ36)</f>
        <v>0</v>
      </c>
      <c r="P36" s="176">
        <f>IF(INGRESOS!$J$5=INGRESOS!$AA$3,0,IF(O36=0,0,($AN36+$AO36*2)*$AQ36*$B$22+$AP36*$AR36*$AT36))</f>
        <v>0</v>
      </c>
      <c r="Q36" s="175">
        <f>IF(INGRESOS!$J$5=INGRESOS!$AA$3,0,IF(INGRESOS!$J$5=INGRESOS!$AA$2,0,($AN36+$AO36*2+$AP36)*$AQ36))</f>
        <v>0</v>
      </c>
      <c r="R36" s="176">
        <f>IF(INGRESOS!$J$5=INGRESOS!$AA$3,0,IF(Q36=0,0,($AN36+$AO36*2)*$AQ36*$B$22+$AP36*$AR36*$AT36))</f>
        <v>0</v>
      </c>
      <c r="S36" s="175">
        <f>IF(INGRESOS!$J$5=INGRESOS!$AA$3,0,($AN36+$AO36*2+$AP36)*$AQ36)</f>
        <v>0</v>
      </c>
      <c r="T36" s="176">
        <f>IF(INGRESOS!$J$5=INGRESOS!$AA$3,0,IF(S36=0,0,($AN36+$AO36*2)*$AQ36*$B$22+$AP36*$AR36*$AT36))</f>
        <v>0</v>
      </c>
      <c r="U36" s="175">
        <f>IF(INGRESOS!$J$5=INGRESOS!$AA$3,0,IF(INGRESOS!$J$5=INGRESOS!$AA$2,0,($AN36+$AO36*2+$AP36)*$AQ36))</f>
        <v>0</v>
      </c>
      <c r="V36" s="176">
        <f>IF(INGRESOS!$J$5=INGRESOS!$AA$3,0,IF(U36=0,0,($AN36+$AO36*2)*$AQ36*$B$22+$AP36*$AR36*$AT36))</f>
        <v>0</v>
      </c>
      <c r="W36" s="210">
        <f t="shared" ref="W36" si="13">($AF36+$AG36*2+$AH36)*$AI36</f>
        <v>0</v>
      </c>
      <c r="X36" s="211">
        <f t="shared" ref="X36" si="14">($AF36+$AG36*2)*$AI36*$B$22+$AH36*$AJ36*$AL36</f>
        <v>0</v>
      </c>
      <c r="Y36" s="175">
        <f>IF(INGRESOS!$J$5=INGRESOS!$AA$3,0,IF(INGRESOS!$J$5=INGRESOS!$AA$2,0,($AF36+$AG36*2+$AH36)*$AI36))</f>
        <v>0</v>
      </c>
      <c r="Z36" s="176">
        <f>IF(INGRESOS!$J$5=INGRESOS!$AA$3,0,IF(INGRESOS!$J$5=INGRESOS!$AA$2,0,($AF36+$AG36*2)*$AI36*$B$22+$AH36*$AJ36*$AL36))</f>
        <v>0</v>
      </c>
      <c r="AA36" s="175">
        <f>IF(INGRESOS!$J$5=INGRESOS!$AA$3,0,($AF36+$AG36*2+$AH36)*$AI36)</f>
        <v>0</v>
      </c>
      <c r="AB36" s="176">
        <f>IF(INGRESOS!$J$5=INGRESOS!$AA$3,0,($AF36+$AG36*2)*$AI36*$B$22+$AH36*$AJ36*$AL36)</f>
        <v>0</v>
      </c>
      <c r="AC36" s="175">
        <f>IF(INGRESOS!$J$5=INGRESOS!$AA$3,0,IF(INGRESOS!$J$5=INGRESOS!$AA$2,0,($AF36+$AG36*2+$AH36)*$AI36))</f>
        <v>0</v>
      </c>
      <c r="AD36" s="176">
        <f>IF(INGRESOS!$J$5=INGRESOS!$AA$3,0,IF(INGRESOS!$J$5=INGRESOS!$AA$2,0,($AF36+$AG36*2)*$AI36*$B$22+$AH36*$AJ36*$AL36))</f>
        <v>0</v>
      </c>
      <c r="AF36" s="303">
        <f>SUM(Malla!$F$84:$F$91)-AH36-AG36</f>
        <v>0</v>
      </c>
      <c r="AG36" s="343">
        <f>SUMIF(Malla!$E$84:$E$91,Malla!$AB$5,Malla!$F$84:$F$91)</f>
        <v>0</v>
      </c>
      <c r="AH36" s="196">
        <f>SUMIF(Malla!$D$84:$D$91,Malla!$AA$6,Malla!$F$84:$F$91)</f>
        <v>0</v>
      </c>
      <c r="AI36" s="180">
        <f>ROUNDUP(IF($M15=0,0,$M15/$AI$23),0)</f>
        <v>0</v>
      </c>
      <c r="AJ36" s="309"/>
      <c r="AK36" s="305"/>
      <c r="AL36" s="181">
        <f>ROUNDUP(IF(AH36&gt;0,M15/AK36,0),0)</f>
        <v>0</v>
      </c>
      <c r="AN36" s="303">
        <f>SUM(Malla!$R$84:$R$91)-AP36-AO36</f>
        <v>0</v>
      </c>
      <c r="AO36" s="343">
        <f>SUMIF(Malla!$Q$84:$Q$91,Malla!$AB$5,Malla!$R$84:$R$91)</f>
        <v>0</v>
      </c>
      <c r="AP36" s="196">
        <f>SUMIF(Malla!$P$84:$P$91,Malla!$AA$6,Malla!$R$84:$R$91)</f>
        <v>0</v>
      </c>
      <c r="AQ36" s="180">
        <f>IF(INGRESOS!$J$25&gt;=INGRESOS!$X40,AQ35,0)</f>
        <v>0</v>
      </c>
      <c r="AR36" s="178"/>
      <c r="AS36" s="179"/>
      <c r="AT36" s="181">
        <f>ROUNDUP(IF(AP36&gt;0,M15/AS36,0),0)</f>
        <v>0</v>
      </c>
    </row>
    <row r="37" spans="2:46" s="177" customFormat="1" ht="24" customHeight="1" thickBot="1" x14ac:dyDescent="0.3">
      <c r="B37" s="187" t="str">
        <f t="shared" si="2"/>
        <v>Doce</v>
      </c>
      <c r="C37" s="214">
        <f>IF(INGRESOS!$J$5=INGRESOS!$AA$3,0,IF(INGRESOS!$J$5=INGRESOS!$AA$2,0,($AN37+$AO37*2+$AP37)*$AQ37))</f>
        <v>0</v>
      </c>
      <c r="D37" s="215">
        <f>IF(INGRESOS!$J$5=INGRESOS!$AA$3,0,IF(C37=0,0,IF(INGRESOS!$J$5=INGRESOS!$AA$2,0,($AN37+$AO37*2)*$AQ37*$B$22+$AP37*$AR37*$AT37)))</f>
        <v>0</v>
      </c>
      <c r="E37" s="214">
        <f>IF(INGRESOS!$J$5=INGRESOS!$AA$3,0,($AN37+$AO37*2+$AP37)*$AQ37)</f>
        <v>0</v>
      </c>
      <c r="F37" s="215">
        <f>IF(INGRESOS!$J$5=INGRESOS!$AA$3,0,IF(E37=0,0,($AN37+$AO37*2)*$AQ37*$B$22+$AP37*$AR37*$AT37))</f>
        <v>0</v>
      </c>
      <c r="G37" s="214">
        <f>IF(INGRESOS!$J$5=INGRESOS!$AA$3,0,IF(INGRESOS!$J$5=INGRESOS!$AA$2,0,($AN37+$AO37*2+$AP37)*$AQ37))</f>
        <v>0</v>
      </c>
      <c r="H37" s="215">
        <f>IF(INGRESOS!$J$5=INGRESOS!$AA$3,0,IF(G37=0,0,IF(INGRESOS!$J$5=INGRESOS!$AA$2,0,($AN37+$AO37*2)*$AQ37*$B$22+$AP37*$AR37*$AT37)))</f>
        <v>0</v>
      </c>
      <c r="I37" s="214">
        <f>IF(INGRESOS!$J$5=INGRESOS!$AA$3,0,($AN37+$AO37*2+$AP37)*$AQ37)</f>
        <v>0</v>
      </c>
      <c r="J37" s="215">
        <f>IF(INGRESOS!$J$5=INGRESOS!$AA$3,0,IF(I37=0,0,($AN37+$AO37*2)*$AQ37*$B$22+$AP37*$AR37*$AT37))</f>
        <v>0</v>
      </c>
      <c r="K37" s="214">
        <f>IF(INGRESOS!$J$5=INGRESOS!$AA$3,0,IF(INGRESOS!$J$5=INGRESOS!$AA$2,0,($AN37+$AO37*2+$AP37)*$AQ37))</f>
        <v>0</v>
      </c>
      <c r="L37" s="215">
        <f>IF(INGRESOS!$J$5=INGRESOS!$AA$3,0,IF(K37=0,0,IF(INGRESOS!$J$5=INGRESOS!$AA$2,0,($AN37+$AO37*2)*$AQ37*$B$22+$AP37*$AR37*$AT37)))</f>
        <v>0</v>
      </c>
      <c r="M37" s="214">
        <f>IF(INGRESOS!$J$5=INGRESOS!$AA$3,0,($AN37+$AO37*2+$AP37)*$AQ37)</f>
        <v>0</v>
      </c>
      <c r="N37" s="215">
        <f>IF(INGRESOS!$J$5=INGRESOS!$AA$3,0,IF(M37=0,0,($AN37+$AO37*2)*$AQ37*$B$22+$AP37*$AR37*$AT37))</f>
        <v>0</v>
      </c>
      <c r="O37" s="214">
        <f>IF(INGRESOS!$J$5=INGRESOS!$AA$3,0,IF(INGRESOS!$J$5=INGRESOS!$AA$2,0,($AN37+$AO37*2+$AP37)*$AQ37))</f>
        <v>0</v>
      </c>
      <c r="P37" s="215">
        <f>IF(INGRESOS!$J$5=INGRESOS!$AA$3,0,IF(O37=0,0,IF(INGRESOS!$J$5=INGRESOS!$AA$2,0,($AN37+$AO37*2)*$AQ37*$B$22+$AP37*$AR37*$AT37)))</f>
        <v>0</v>
      </c>
      <c r="Q37" s="214">
        <f>IF(INGRESOS!$J$5=INGRESOS!$AA$3,0,($AN37+$AO37*2+$AP37)*$AQ37)</f>
        <v>0</v>
      </c>
      <c r="R37" s="215">
        <f>IF(INGRESOS!$J$5=INGRESOS!$AA$3,0,IF(Q37=0,0,($AN37+$AO37*2)*$AQ37*$B$22+$AP37*$AR37*$AT37))</f>
        <v>0</v>
      </c>
      <c r="S37" s="214">
        <f>IF(INGRESOS!$J$5=INGRESOS!$AA$3,0,IF(INGRESOS!$J$5=INGRESOS!$AA$2,0,($AN37+$AO37*2+$AP37)*$AQ37))</f>
        <v>0</v>
      </c>
      <c r="T37" s="215">
        <f>IF(INGRESOS!$J$5=INGRESOS!$AA$3,0,IF(S37=0,0,IF(INGRESOS!$J$5=INGRESOS!$AA$2,0,($AN37+$AO37*2)*$AQ37*$B$22+$AP37*$AR37*$AT37)))</f>
        <v>0</v>
      </c>
      <c r="U37" s="214">
        <f>IF(INGRESOS!$J$5=INGRESOS!$AA$3,0,($AN37+$AO37*2+$AP37)*$AQ37)</f>
        <v>0</v>
      </c>
      <c r="V37" s="215">
        <f>IF(INGRESOS!$J$5=INGRESOS!$AA$3,0,IF(U37=0,0,($AN37+$AO37*2)*$AQ37*$B$22+$AP37*$AR37*$AT37))</f>
        <v>0</v>
      </c>
      <c r="W37" s="214">
        <f>IF(INGRESOS!$J$5=INGRESOS!$AA$3,0,IF(INGRESOS!$J$5=INGRESOS!$AA$2,0,($AN37+$AO37*2+$AP37)*$AQ37))</f>
        <v>0</v>
      </c>
      <c r="X37" s="215">
        <f>IF(INGRESOS!$J$5=INGRESOS!$AA$3,0,IF(W37=0,0,IF(INGRESOS!$J$5=INGRESOS!$AA$2,0,($AN37+$AO37*2)*$AQ37*$B$22+$AP37*$AR37*$AT37)))</f>
        <v>0</v>
      </c>
      <c r="Y37" s="212">
        <f t="shared" ref="Y37" si="15">($AF37+$AG37*2+$AH37)*$AI37</f>
        <v>0</v>
      </c>
      <c r="Z37" s="213">
        <f t="shared" ref="Z37" si="16">($AF37+$AG37*2)*$AI37*$B$22+$AH37*$AJ37*$AL37</f>
        <v>0</v>
      </c>
      <c r="AA37" s="183">
        <f>IF(INGRESOS!$J$5=INGRESOS!$AA$3,0,IF(INGRESOS!$J$5=INGRESOS!$AA$2,0,($AF37+$AG37*2+$AH37)*$AI37))</f>
        <v>0</v>
      </c>
      <c r="AB37" s="184">
        <f>IF(INGRESOS!$J$5=INGRESOS!$AA$3,0,IF(INGRESOS!$J$5=INGRESOS!$AA$2,0,($AF37+$AG37*2)*$AI37*$B$22+$AH37*$AJ37*$AL37))</f>
        <v>0</v>
      </c>
      <c r="AC37" s="183">
        <f>IF(INGRESOS!$J$5=INGRESOS!$AA$3,0,($AF37+$AG37*2+$AH37)*$AI37)</f>
        <v>0</v>
      </c>
      <c r="AD37" s="184">
        <f>IF(INGRESOS!$J$5=INGRESOS!$AA$3,0,($AF37+$AG37*2)*$AI37*$B$22+$AH37*$AJ37*$AL37)</f>
        <v>0</v>
      </c>
      <c r="AF37" s="304">
        <f>SUM(Malla!$F$92:$F$99)-AH37-AG37</f>
        <v>0</v>
      </c>
      <c r="AG37" s="344">
        <f>SUMIF(Malla!$E$92:$E$99,Malla!$AB$5,Malla!$F$92:$F$99)</f>
        <v>0</v>
      </c>
      <c r="AH37" s="190">
        <f>SUMIF(Malla!$D$92:$D$99,Malla!$AA$6,Malla!$F$92:$F$99)</f>
        <v>0</v>
      </c>
      <c r="AI37" s="320">
        <f>ROUNDUP(IF($N16=0,0,$N16/$AI$23),0)</f>
        <v>0</v>
      </c>
      <c r="AJ37" s="316"/>
      <c r="AK37" s="308"/>
      <c r="AL37" s="190">
        <f>ROUNDUP(IF(AH37&gt;0,N16/AK37,0),0)</f>
        <v>0</v>
      </c>
      <c r="AN37" s="304">
        <f>SUM(Malla!$R$92:$R$99)-AP37-AO37</f>
        <v>0</v>
      </c>
      <c r="AO37" s="344">
        <f>SUMIF(Malla!$Q$92:$Q$99,Malla!$AB$5,Malla!$R$92:$R$99)</f>
        <v>0</v>
      </c>
      <c r="AP37" s="190">
        <f>SUMIF(Malla!$P$92:$P$99,Malla!$AA$6,Malla!$R$92:$R$99)</f>
        <v>0</v>
      </c>
      <c r="AQ37" s="185">
        <f>IF(INGRESOS!$J$25&gt;=INGRESOS!$X41,AQ36,0)</f>
        <v>0</v>
      </c>
      <c r="AR37" s="189"/>
      <c r="AS37" s="188"/>
      <c r="AT37" s="190">
        <f>ROUNDUP(IF(AP37&gt;0,N16/AS37,0),0)</f>
        <v>0</v>
      </c>
    </row>
    <row r="38" spans="2:46" s="177" customFormat="1" ht="20.25" customHeight="1" thickBot="1" x14ac:dyDescent="0.3">
      <c r="B38" s="219" t="s">
        <v>212</v>
      </c>
      <c r="C38" s="220">
        <f t="shared" ref="C38:AD38" si="17">SUM(C26:C37)</f>
        <v>0</v>
      </c>
      <c r="D38" s="221">
        <f t="shared" si="17"/>
        <v>0</v>
      </c>
      <c r="E38" s="220">
        <f t="shared" si="17"/>
        <v>0</v>
      </c>
      <c r="F38" s="221">
        <f t="shared" si="17"/>
        <v>0</v>
      </c>
      <c r="G38" s="220">
        <f t="shared" si="17"/>
        <v>0</v>
      </c>
      <c r="H38" s="221">
        <f t="shared" si="17"/>
        <v>0</v>
      </c>
      <c r="I38" s="220">
        <f t="shared" si="17"/>
        <v>0</v>
      </c>
      <c r="J38" s="221">
        <f t="shared" si="17"/>
        <v>0</v>
      </c>
      <c r="K38" s="220">
        <f t="shared" si="17"/>
        <v>0</v>
      </c>
      <c r="L38" s="221">
        <f t="shared" si="17"/>
        <v>0</v>
      </c>
      <c r="M38" s="220">
        <f t="shared" si="17"/>
        <v>0</v>
      </c>
      <c r="N38" s="221">
        <f t="shared" si="17"/>
        <v>0</v>
      </c>
      <c r="O38" s="220">
        <f t="shared" si="17"/>
        <v>0</v>
      </c>
      <c r="P38" s="221">
        <f t="shared" si="17"/>
        <v>0</v>
      </c>
      <c r="Q38" s="220">
        <f t="shared" si="17"/>
        <v>0</v>
      </c>
      <c r="R38" s="221">
        <f t="shared" si="17"/>
        <v>0</v>
      </c>
      <c r="S38" s="220">
        <f t="shared" si="17"/>
        <v>0</v>
      </c>
      <c r="T38" s="221">
        <f t="shared" si="17"/>
        <v>0</v>
      </c>
      <c r="U38" s="220">
        <f t="shared" si="17"/>
        <v>0</v>
      </c>
      <c r="V38" s="221">
        <f t="shared" si="17"/>
        <v>0</v>
      </c>
      <c r="W38" s="220">
        <f t="shared" si="17"/>
        <v>0</v>
      </c>
      <c r="X38" s="221">
        <f t="shared" si="17"/>
        <v>0</v>
      </c>
      <c r="Y38" s="220">
        <f t="shared" si="17"/>
        <v>0</v>
      </c>
      <c r="Z38" s="221">
        <f t="shared" si="17"/>
        <v>0</v>
      </c>
      <c r="AA38" s="220">
        <f t="shared" si="17"/>
        <v>0</v>
      </c>
      <c r="AB38" s="221">
        <f t="shared" si="17"/>
        <v>0</v>
      </c>
      <c r="AC38" s="220">
        <f t="shared" si="17"/>
        <v>0</v>
      </c>
      <c r="AD38" s="221">
        <f t="shared" si="17"/>
        <v>0</v>
      </c>
      <c r="AF38" s="220">
        <f>SUM(AF26:AF37)</f>
        <v>0</v>
      </c>
      <c r="AG38" s="220">
        <f t="shared" ref="AG38:AH38" si="18">SUM(AG26:AG37)</f>
        <v>0</v>
      </c>
      <c r="AH38" s="220">
        <f t="shared" si="18"/>
        <v>0</v>
      </c>
      <c r="AI38" s="324">
        <f>ROUNDUP(AVERAGE(AI26:AI37),0)</f>
        <v>0</v>
      </c>
      <c r="AN38" s="220">
        <f>SUM(AN26:AN35)</f>
        <v>0</v>
      </c>
      <c r="AO38" s="221">
        <f>SUM(AO26:AO35)</f>
        <v>0</v>
      </c>
      <c r="AP38" s="221">
        <f>SUM(AP26:AP35)</f>
        <v>0</v>
      </c>
      <c r="AQ38" s="324">
        <f>ROUNDUP(AVERAGE(AQ26:AQ37),0)</f>
        <v>0</v>
      </c>
    </row>
    <row r="39" spans="2:46" x14ac:dyDescent="0.25">
      <c r="B39" s="146" t="s">
        <v>312</v>
      </c>
      <c r="U39" s="123">
        <f>C26+E27+G28+I29+K30+M31+O32+Q33+S34+U35</f>
        <v>0</v>
      </c>
      <c r="V39" s="123">
        <f>D26+F27+H28+J29+L30+N31+P32+R33+T34+V35</f>
        <v>0</v>
      </c>
      <c r="Y39" s="123"/>
      <c r="Z39" s="123"/>
      <c r="AC39" s="123">
        <f>C38+E38+G38+I38+K38+M38+O38+Q38+S38+U38+W38+Y38+AA38+AC38</f>
        <v>0</v>
      </c>
      <c r="AD39" s="123">
        <f>D38+F38+H38+J38+L38+N38+P38+R38+T38+V38+X38+Z38+AB38+AD38</f>
        <v>0</v>
      </c>
      <c r="AH39" s="123">
        <f>SUM(AF38:AH38)</f>
        <v>0</v>
      </c>
      <c r="AP39" s="123">
        <f>SUM(AN38:AP38)</f>
        <v>0</v>
      </c>
    </row>
    <row r="40" spans="2:46" ht="8.25" customHeight="1" x14ac:dyDescent="0.25"/>
    <row r="41" spans="2:46" x14ac:dyDescent="0.25">
      <c r="C41" s="555" t="s">
        <v>366</v>
      </c>
      <c r="D41" s="555"/>
      <c r="E41" s="555"/>
      <c r="F41" s="555"/>
      <c r="G41" s="555"/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5"/>
      <c r="X41" s="555"/>
      <c r="Y41" s="555"/>
      <c r="Z41" s="555"/>
      <c r="AA41" s="555"/>
      <c r="AB41" s="555"/>
      <c r="AC41" s="555"/>
      <c r="AD41" s="555"/>
    </row>
    <row r="42" spans="2:46" x14ac:dyDescent="0.25">
      <c r="B42" s="170" t="s">
        <v>340</v>
      </c>
      <c r="C42" s="171">
        <f>IF(C$38=0,0,(Malla!$I$9+Malla!$U$17)/C$38)</f>
        <v>0</v>
      </c>
      <c r="D42" s="122">
        <f>+D$38*C42</f>
        <v>0</v>
      </c>
      <c r="E42" s="171">
        <f>IF(E$38=0,0,(Malla!$I$17+Malla!$U$25)/E$38)</f>
        <v>0</v>
      </c>
      <c r="F42" s="122">
        <f>+F$38*E42</f>
        <v>0</v>
      </c>
      <c r="G42" s="171">
        <f>IF(G$38=0,0,(Malla!$I$25+Malla!$U$33)/G$38)</f>
        <v>0</v>
      </c>
      <c r="H42" s="122">
        <f>+H$38*G42</f>
        <v>0</v>
      </c>
      <c r="I42" s="171">
        <f>IF(I$38=0,0,(Malla!$I$33+Malla!$U$41)/I$38)</f>
        <v>0</v>
      </c>
      <c r="J42" s="122">
        <f>+J$38*I42</f>
        <v>0</v>
      </c>
      <c r="K42" s="171">
        <f>IF(K$38=0,0,(Malla!$I$41+Malla!$U$49)/K$38)</f>
        <v>0</v>
      </c>
      <c r="L42" s="122">
        <f>+L$38*K42</f>
        <v>0</v>
      </c>
      <c r="M42" s="171">
        <f>IF(M$38=0,0,(Malla!$I$49+Malla!$U$57)/M$38)</f>
        <v>0</v>
      </c>
      <c r="N42" s="122">
        <f>+N$38*M42</f>
        <v>0</v>
      </c>
      <c r="O42" s="171">
        <f>IF(O$38=0,0,(Malla!$I$57+Malla!$U$65)/O$38)</f>
        <v>0</v>
      </c>
      <c r="P42" s="122">
        <f>+P$38*O42</f>
        <v>0</v>
      </c>
      <c r="Q42" s="171">
        <f>IF(Q$38=0,0,(Malla!$I$65+Malla!$U$73)/Q$38)</f>
        <v>0</v>
      </c>
      <c r="R42" s="122">
        <f>+R$38*Q42</f>
        <v>0</v>
      </c>
      <c r="S42" s="171">
        <f>IF(S$38=0,0,(Malla!$I$73+Malla!$U$81)/S$38)</f>
        <v>0</v>
      </c>
      <c r="T42" s="122">
        <f>+T$38*S42</f>
        <v>0</v>
      </c>
      <c r="U42" s="171">
        <f>IF(U$38=0,0,(Malla!$I$81+Malla!$U$89)/U$38)</f>
        <v>0</v>
      </c>
      <c r="V42" s="122">
        <f>+V$38*U42</f>
        <v>0</v>
      </c>
      <c r="W42" s="171">
        <f>IF(W$38=0,0,(Malla!$I$89+Malla!$U$97)/W$38)</f>
        <v>0</v>
      </c>
      <c r="X42" s="122">
        <f>+X$38*W42</f>
        <v>0</v>
      </c>
      <c r="Y42" s="171">
        <f>IF(Y$38=0,0,(Malla!$I$97)/Y$38)</f>
        <v>0</v>
      </c>
      <c r="Z42" s="122">
        <f>+Z$38*Y42</f>
        <v>0</v>
      </c>
      <c r="AA42" s="171">
        <f>IF(AA$38=0,0,(Malla!$I$97)/AA$38)</f>
        <v>0</v>
      </c>
      <c r="AB42" s="122">
        <f>+AB$38*AA42</f>
        <v>0</v>
      </c>
      <c r="AC42" s="171">
        <f>IF(AC$38=0,0,(Malla!$I$97)/AC$38)</f>
        <v>0</v>
      </c>
      <c r="AD42" s="122">
        <f>+AD$38*AC42</f>
        <v>0</v>
      </c>
    </row>
    <row r="43" spans="2:46" x14ac:dyDescent="0.25">
      <c r="B43" s="172" t="s">
        <v>341</v>
      </c>
      <c r="C43" s="171">
        <f>IF(C$38=0,0,(Malla!$J$9+Malla!$V$17)/C$38)</f>
        <v>0</v>
      </c>
      <c r="D43" s="122">
        <f t="shared" ref="D43:F45" si="19">+D$38*C43</f>
        <v>0</v>
      </c>
      <c r="E43" s="171">
        <f>IF(E$38=0,0,(Malla!$J$17+Malla!$V$25)/E$38)</f>
        <v>0</v>
      </c>
      <c r="F43" s="122">
        <f t="shared" si="19"/>
        <v>0</v>
      </c>
      <c r="G43" s="171">
        <f>IF(G$38=0,0,(Malla!$J$25+Malla!$V$33)/G$38)</f>
        <v>0</v>
      </c>
      <c r="H43" s="122">
        <f t="shared" ref="H43" si="20">+H$38*G43</f>
        <v>0</v>
      </c>
      <c r="I43" s="171">
        <f>IF(I$38=0,0,(Malla!$J$33+Malla!$V$41)/I$38)</f>
        <v>0</v>
      </c>
      <c r="J43" s="122">
        <f t="shared" ref="J43" si="21">+J$38*I43</f>
        <v>0</v>
      </c>
      <c r="K43" s="171">
        <f>IF(K$38=0,0,(Malla!$J$41+Malla!$V$49)/K$38)</f>
        <v>0</v>
      </c>
      <c r="L43" s="122">
        <f t="shared" ref="L43" si="22">+L$38*K43</f>
        <v>0</v>
      </c>
      <c r="M43" s="171">
        <f>IF(M$38=0,0,(Malla!$J$49+Malla!$V$57)/M$38)</f>
        <v>0</v>
      </c>
      <c r="N43" s="122">
        <f t="shared" ref="N43" si="23">+N$38*M43</f>
        <v>0</v>
      </c>
      <c r="O43" s="171">
        <f>IF(O$38=0,0,(Malla!$J$57+Malla!$V$65)/O$38)</f>
        <v>0</v>
      </c>
      <c r="P43" s="122">
        <f t="shared" ref="P43" si="24">+P$38*O43</f>
        <v>0</v>
      </c>
      <c r="Q43" s="171">
        <f>IF(Q$38=0,0,(Malla!$J$65+Malla!$V$73)/Q$38)</f>
        <v>0</v>
      </c>
      <c r="R43" s="122">
        <f t="shared" ref="R43" si="25">+R$38*Q43</f>
        <v>0</v>
      </c>
      <c r="S43" s="171">
        <f>IF(S$38=0,0,(Malla!$J$73+Malla!$V$81)/S$38)</f>
        <v>0</v>
      </c>
      <c r="T43" s="122">
        <f t="shared" ref="T43" si="26">+T$38*S43</f>
        <v>0</v>
      </c>
      <c r="U43" s="171">
        <f>IF(U$38=0,0,(Malla!$J$81+Malla!$V$89)/U$38)</f>
        <v>0</v>
      </c>
      <c r="V43" s="122">
        <f t="shared" ref="V43" si="27">+V$38*U43</f>
        <v>0</v>
      </c>
      <c r="W43" s="171">
        <f>IF(W$38=0,0,(Malla!$J$89+Malla!$V$97)/W$38)</f>
        <v>0</v>
      </c>
      <c r="X43" s="122">
        <f t="shared" ref="X43" si="28">+X$38*W43</f>
        <v>0</v>
      </c>
      <c r="Y43" s="171">
        <f>IF(Y$38=0,0,(Malla!$J$97)/Y$38)</f>
        <v>0</v>
      </c>
      <c r="Z43" s="122">
        <f t="shared" ref="Z43" si="29">+Z$38*Y43</f>
        <v>0</v>
      </c>
      <c r="AA43" s="171">
        <f>IF(AA$38=0,0,(Malla!$J$97)/AA$38)</f>
        <v>0</v>
      </c>
      <c r="AB43" s="122">
        <f t="shared" ref="AB43" si="30">+AB$38*AA43</f>
        <v>0</v>
      </c>
      <c r="AC43" s="171">
        <f>IF(AC$38=0,0,(Malla!$J$97)/AC$38)</f>
        <v>0</v>
      </c>
      <c r="AD43" s="122">
        <f t="shared" ref="AD43" si="31">+AD$38*AC43</f>
        <v>0</v>
      </c>
    </row>
    <row r="44" spans="2:46" x14ac:dyDescent="0.25">
      <c r="B44" s="173" t="s">
        <v>342</v>
      </c>
      <c r="C44" s="171">
        <f>IF(C$38=0,0,(Malla!$K$9+Malla!$W$17)/C$38)</f>
        <v>0</v>
      </c>
      <c r="D44" s="122">
        <f t="shared" si="19"/>
        <v>0</v>
      </c>
      <c r="E44" s="171">
        <f>IF(E$38=0,0,(Malla!$K$17+Malla!$W$25)/E$38)</f>
        <v>0</v>
      </c>
      <c r="F44" s="122">
        <f t="shared" si="19"/>
        <v>0</v>
      </c>
      <c r="G44" s="171">
        <f>IF(G$38=0,0,(Malla!$K$25+Malla!$W$33)/G$38)</f>
        <v>0</v>
      </c>
      <c r="H44" s="122">
        <f t="shared" ref="H44" si="32">+H$38*G44</f>
        <v>0</v>
      </c>
      <c r="I44" s="171">
        <f>IF(I$38=0,0,(Malla!$K$33+Malla!$W$41)/I$38)</f>
        <v>0</v>
      </c>
      <c r="J44" s="122">
        <f t="shared" ref="J44" si="33">+J$38*I44</f>
        <v>0</v>
      </c>
      <c r="K44" s="171">
        <f>IF(K$38=0,0,(Malla!$K$41+Malla!$W$49)/K$38)</f>
        <v>0</v>
      </c>
      <c r="L44" s="122">
        <f t="shared" ref="L44" si="34">+L$38*K44</f>
        <v>0</v>
      </c>
      <c r="M44" s="171">
        <f>IF(M$38=0,0,(Malla!$K$49+Malla!$W$57)/M$38)</f>
        <v>0</v>
      </c>
      <c r="N44" s="122">
        <f t="shared" ref="N44" si="35">+N$38*M44</f>
        <v>0</v>
      </c>
      <c r="O44" s="171">
        <f>IF(O$38=0,0,(Malla!$K$57+Malla!$W$65)/O$38)</f>
        <v>0</v>
      </c>
      <c r="P44" s="122">
        <f t="shared" ref="P44" si="36">+P$38*O44</f>
        <v>0</v>
      </c>
      <c r="Q44" s="171">
        <f>IF(Q$38=0,0,(Malla!$K$65+Malla!$W$73)/Q$38)</f>
        <v>0</v>
      </c>
      <c r="R44" s="122">
        <f t="shared" ref="R44" si="37">+R$38*Q44</f>
        <v>0</v>
      </c>
      <c r="S44" s="171">
        <f>IF(S$38=0,0,(Malla!$K$73+Malla!$W$81)/S$38)</f>
        <v>0</v>
      </c>
      <c r="T44" s="122">
        <f t="shared" ref="T44" si="38">+T$38*S44</f>
        <v>0</v>
      </c>
      <c r="U44" s="171">
        <f>IF(U$38=0,0,(Malla!$K$81+Malla!$W$89)/U$38)</f>
        <v>0</v>
      </c>
      <c r="V44" s="122">
        <f t="shared" ref="V44" si="39">+V$38*U44</f>
        <v>0</v>
      </c>
      <c r="W44" s="171">
        <f>IF(W$38=0,0,(Malla!$K$89+Malla!$W$97)/W$38)</f>
        <v>0</v>
      </c>
      <c r="X44" s="122">
        <f t="shared" ref="X44" si="40">+X$38*W44</f>
        <v>0</v>
      </c>
      <c r="Y44" s="171">
        <f>IF(Y$38=0,0,(Malla!$K$97)/Y$38)</f>
        <v>0</v>
      </c>
      <c r="Z44" s="122">
        <f t="shared" ref="Z44" si="41">+Z$38*Y44</f>
        <v>0</v>
      </c>
      <c r="AA44" s="171">
        <f>IF(AA$38=0,0,(Malla!$K$97)/AA$38)</f>
        <v>0</v>
      </c>
      <c r="AB44" s="122">
        <f t="shared" ref="AB44" si="42">+AB$38*AA44</f>
        <v>0</v>
      </c>
      <c r="AC44" s="171">
        <f>IF(AC$38=0,0,(Malla!$K$97)/AC$38)</f>
        <v>0</v>
      </c>
      <c r="AD44" s="122">
        <f t="shared" ref="AD44" si="43">+AD$38*AC44</f>
        <v>0</v>
      </c>
    </row>
    <row r="45" spans="2:46" x14ac:dyDescent="0.25">
      <c r="B45" s="122" t="s">
        <v>343</v>
      </c>
      <c r="C45" s="171">
        <f>1-C42-C43-C44</f>
        <v>1</v>
      </c>
      <c r="D45" s="122">
        <f t="shared" si="19"/>
        <v>0</v>
      </c>
      <c r="E45" s="171">
        <f>1-E42-E43-E44</f>
        <v>1</v>
      </c>
      <c r="F45" s="122">
        <f t="shared" si="19"/>
        <v>0</v>
      </c>
      <c r="G45" s="171">
        <f>1-G42-G43-G44</f>
        <v>1</v>
      </c>
      <c r="H45" s="122">
        <f t="shared" ref="H45" si="44">+H$38*G45</f>
        <v>0</v>
      </c>
      <c r="I45" s="171">
        <f>1-I42-I43-I44</f>
        <v>1</v>
      </c>
      <c r="J45" s="122">
        <f t="shared" ref="J45" si="45">+J$38*I45</f>
        <v>0</v>
      </c>
      <c r="K45" s="171">
        <f>1-K42-K43-K44</f>
        <v>1</v>
      </c>
      <c r="L45" s="122">
        <f t="shared" ref="L45" si="46">+L$38*K45</f>
        <v>0</v>
      </c>
      <c r="M45" s="171">
        <f>1-M42-M43-M44</f>
        <v>1</v>
      </c>
      <c r="N45" s="122">
        <f t="shared" ref="N45" si="47">+N$38*M45</f>
        <v>0</v>
      </c>
      <c r="O45" s="171">
        <f>1-O42-O43-O44</f>
        <v>1</v>
      </c>
      <c r="P45" s="122">
        <f t="shared" ref="P45" si="48">+P$38*O45</f>
        <v>0</v>
      </c>
      <c r="Q45" s="171">
        <f>1-Q42-Q43-Q44</f>
        <v>1</v>
      </c>
      <c r="R45" s="122">
        <f t="shared" ref="R45" si="49">+R$38*Q45</f>
        <v>0</v>
      </c>
      <c r="S45" s="171">
        <f>1-S42-S43-S44</f>
        <v>1</v>
      </c>
      <c r="T45" s="122">
        <f t="shared" ref="T45" si="50">+T$38*S45</f>
        <v>0</v>
      </c>
      <c r="U45" s="171">
        <f>1-U42-U43-U44</f>
        <v>1</v>
      </c>
      <c r="V45" s="122">
        <f t="shared" ref="V45" si="51">+V$38*U45</f>
        <v>0</v>
      </c>
      <c r="W45" s="171">
        <f>1-W42-W43-W44</f>
        <v>1</v>
      </c>
      <c r="X45" s="122">
        <f t="shared" ref="X45" si="52">+X$38*W45</f>
        <v>0</v>
      </c>
      <c r="Y45" s="171">
        <f>1-Y42-Y43-Y44</f>
        <v>1</v>
      </c>
      <c r="Z45" s="122">
        <f t="shared" ref="Z45" si="53">+Z$38*Y45</f>
        <v>0</v>
      </c>
      <c r="AA45" s="171">
        <f>1-AA42-AA43-AA44</f>
        <v>1</v>
      </c>
      <c r="AB45" s="122">
        <f t="shared" ref="AB45" si="54">+AB$38*AA45</f>
        <v>0</v>
      </c>
      <c r="AC45" s="171">
        <f>1-AC42-AC43-AC44</f>
        <v>1</v>
      </c>
      <c r="AD45" s="122">
        <f t="shared" ref="AD45" si="55">+AD$38*AC45</f>
        <v>0</v>
      </c>
    </row>
    <row r="46" spans="2:46" x14ac:dyDescent="0.25">
      <c r="B46" s="123" t="s">
        <v>212</v>
      </c>
      <c r="C46" s="205">
        <f t="shared" ref="C46:V46" si="56">SUM(C42:C45)</f>
        <v>1</v>
      </c>
      <c r="D46" s="204">
        <f t="shared" si="56"/>
        <v>0</v>
      </c>
      <c r="E46" s="205">
        <f t="shared" si="56"/>
        <v>1</v>
      </c>
      <c r="F46" s="204">
        <f t="shared" si="56"/>
        <v>0</v>
      </c>
      <c r="G46" s="205">
        <f t="shared" si="56"/>
        <v>1</v>
      </c>
      <c r="H46" s="204">
        <f t="shared" si="56"/>
        <v>0</v>
      </c>
      <c r="I46" s="205">
        <f t="shared" si="56"/>
        <v>1</v>
      </c>
      <c r="J46" s="204">
        <f t="shared" si="56"/>
        <v>0</v>
      </c>
      <c r="K46" s="205">
        <f t="shared" si="56"/>
        <v>1</v>
      </c>
      <c r="L46" s="204">
        <f t="shared" si="56"/>
        <v>0</v>
      </c>
      <c r="M46" s="205">
        <f t="shared" si="56"/>
        <v>1</v>
      </c>
      <c r="N46" s="204">
        <f t="shared" si="56"/>
        <v>0</v>
      </c>
      <c r="O46" s="205">
        <f t="shared" si="56"/>
        <v>1</v>
      </c>
      <c r="P46" s="204">
        <f t="shared" si="56"/>
        <v>0</v>
      </c>
      <c r="Q46" s="205">
        <f t="shared" si="56"/>
        <v>1</v>
      </c>
      <c r="R46" s="204">
        <f t="shared" si="56"/>
        <v>0</v>
      </c>
      <c r="S46" s="205">
        <f t="shared" si="56"/>
        <v>1</v>
      </c>
      <c r="T46" s="204">
        <f t="shared" si="56"/>
        <v>0</v>
      </c>
      <c r="U46" s="205">
        <f t="shared" si="56"/>
        <v>1</v>
      </c>
      <c r="V46" s="204">
        <f t="shared" si="56"/>
        <v>0</v>
      </c>
      <c r="W46" s="205">
        <f t="shared" ref="W46:AD46" si="57">SUM(W42:W45)</f>
        <v>1</v>
      </c>
      <c r="X46" s="204">
        <f t="shared" si="57"/>
        <v>0</v>
      </c>
      <c r="Y46" s="205">
        <f t="shared" si="57"/>
        <v>1</v>
      </c>
      <c r="Z46" s="204">
        <f t="shared" si="57"/>
        <v>0</v>
      </c>
      <c r="AA46" s="205">
        <f t="shared" si="57"/>
        <v>1</v>
      </c>
      <c r="AB46" s="204">
        <f t="shared" si="57"/>
        <v>0</v>
      </c>
      <c r="AC46" s="205">
        <f t="shared" si="57"/>
        <v>1</v>
      </c>
      <c r="AD46" s="204">
        <f t="shared" si="57"/>
        <v>0</v>
      </c>
    </row>
    <row r="48" spans="2:46" x14ac:dyDescent="0.25">
      <c r="C48" s="555" t="s">
        <v>367</v>
      </c>
      <c r="D48" s="555"/>
      <c r="E48" s="555"/>
      <c r="F48" s="555"/>
      <c r="G48" s="555"/>
      <c r="H48" s="555"/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5"/>
      <c r="X48" s="555"/>
      <c r="Y48" s="555"/>
      <c r="Z48" s="555"/>
      <c r="AA48" s="555"/>
      <c r="AB48" s="555"/>
      <c r="AC48" s="555"/>
      <c r="AD48" s="555"/>
    </row>
    <row r="49" spans="2:30" x14ac:dyDescent="0.25">
      <c r="B49" s="170" t="s">
        <v>340</v>
      </c>
      <c r="D49" s="122">
        <f>D42*TARIFAS!$N12</f>
        <v>0</v>
      </c>
      <c r="F49" s="122">
        <f>F42*TARIFAS!$N12</f>
        <v>0</v>
      </c>
      <c r="H49" s="122">
        <f>H42*TARIFAS!$N12</f>
        <v>0</v>
      </c>
      <c r="J49" s="122">
        <f>J42*TARIFAS!$N12</f>
        <v>0</v>
      </c>
      <c r="L49" s="122">
        <f>L42*TARIFAS!$N12</f>
        <v>0</v>
      </c>
      <c r="N49" s="122">
        <f>N42*TARIFAS!$N12</f>
        <v>0</v>
      </c>
      <c r="P49" s="122">
        <f>P42*TARIFAS!$N12</f>
        <v>0</v>
      </c>
      <c r="R49" s="122">
        <f>R42*TARIFAS!$N12</f>
        <v>0</v>
      </c>
      <c r="T49" s="122">
        <f>T42*TARIFAS!$N12</f>
        <v>0</v>
      </c>
      <c r="V49" s="122">
        <f>V42*TARIFAS!$N12</f>
        <v>0</v>
      </c>
      <c r="X49" s="122">
        <f>X42*TARIFAS!$N12</f>
        <v>0</v>
      </c>
      <c r="Z49" s="122">
        <f>Z42*TARIFAS!$N12</f>
        <v>0</v>
      </c>
      <c r="AB49" s="122">
        <f>AB42*TARIFAS!$N12</f>
        <v>0</v>
      </c>
      <c r="AD49" s="122">
        <f>AD42*TARIFAS!$N12</f>
        <v>0</v>
      </c>
    </row>
    <row r="50" spans="2:30" x14ac:dyDescent="0.25">
      <c r="B50" s="172" t="s">
        <v>341</v>
      </c>
      <c r="D50" s="122">
        <f>D43*TARIFAS!$N13</f>
        <v>0</v>
      </c>
      <c r="F50" s="122">
        <f>F43*TARIFAS!$N13</f>
        <v>0</v>
      </c>
      <c r="H50" s="122">
        <f>H43*TARIFAS!$N13</f>
        <v>0</v>
      </c>
      <c r="J50" s="122">
        <f>J43*TARIFAS!$N13</f>
        <v>0</v>
      </c>
      <c r="L50" s="122">
        <f>L43*TARIFAS!$N13</f>
        <v>0</v>
      </c>
      <c r="N50" s="122">
        <f>N43*TARIFAS!$N13</f>
        <v>0</v>
      </c>
      <c r="P50" s="122">
        <f>P43*TARIFAS!$N13</f>
        <v>0</v>
      </c>
      <c r="R50" s="122">
        <f>R43*TARIFAS!$N13</f>
        <v>0</v>
      </c>
      <c r="T50" s="122">
        <f>T43*TARIFAS!$N13</f>
        <v>0</v>
      </c>
      <c r="V50" s="122">
        <f>V43*TARIFAS!$N13</f>
        <v>0</v>
      </c>
      <c r="X50" s="122">
        <f>X43*TARIFAS!$N13</f>
        <v>0</v>
      </c>
      <c r="Z50" s="122">
        <f>Z43*TARIFAS!$N13</f>
        <v>0</v>
      </c>
      <c r="AB50" s="122">
        <f>AB43*TARIFAS!$N13</f>
        <v>0</v>
      </c>
      <c r="AD50" s="122">
        <f>AD43*TARIFAS!$N13</f>
        <v>0</v>
      </c>
    </row>
    <row r="51" spans="2:30" x14ac:dyDescent="0.25">
      <c r="B51" s="173" t="s">
        <v>342</v>
      </c>
      <c r="D51" s="122">
        <f>D44*TARIFAS!$N14</f>
        <v>0</v>
      </c>
      <c r="F51" s="122">
        <f>F44*TARIFAS!$N14</f>
        <v>0</v>
      </c>
      <c r="H51" s="122">
        <f>H44*TARIFAS!$N14</f>
        <v>0</v>
      </c>
      <c r="J51" s="122">
        <f>J44*TARIFAS!$N14</f>
        <v>0</v>
      </c>
      <c r="L51" s="122">
        <f>L44*TARIFAS!$N14</f>
        <v>0</v>
      </c>
      <c r="N51" s="122">
        <f>N44*TARIFAS!$N14</f>
        <v>0</v>
      </c>
      <c r="P51" s="122">
        <f>P44*TARIFAS!$N14</f>
        <v>0</v>
      </c>
      <c r="R51" s="122">
        <f>R44*TARIFAS!$N14</f>
        <v>0</v>
      </c>
      <c r="T51" s="122">
        <f>T44*TARIFAS!$N14</f>
        <v>0</v>
      </c>
      <c r="V51" s="122">
        <f>V44*TARIFAS!$N14</f>
        <v>0</v>
      </c>
      <c r="X51" s="122">
        <f>X44*TARIFAS!$N14</f>
        <v>0</v>
      </c>
      <c r="Z51" s="122">
        <f>Z44*TARIFAS!$N14</f>
        <v>0</v>
      </c>
      <c r="AB51" s="122">
        <f>AB44*TARIFAS!$N14</f>
        <v>0</v>
      </c>
      <c r="AD51" s="122">
        <f>AD44*TARIFAS!$N14</f>
        <v>0</v>
      </c>
    </row>
    <row r="52" spans="2:30" x14ac:dyDescent="0.25">
      <c r="B52" s="123" t="s">
        <v>212</v>
      </c>
      <c r="D52" s="204">
        <f>SUM(D49:D51)</f>
        <v>0</v>
      </c>
      <c r="E52" s="204"/>
      <c r="F52" s="204">
        <f>SUM(F49:F51)</f>
        <v>0</v>
      </c>
      <c r="H52" s="204">
        <f>SUM(H49:H51)</f>
        <v>0</v>
      </c>
      <c r="I52" s="204"/>
      <c r="J52" s="204">
        <f>SUM(J49:J51)</f>
        <v>0</v>
      </c>
      <c r="L52" s="204">
        <f>SUM(L49:L51)</f>
        <v>0</v>
      </c>
      <c r="M52" s="204"/>
      <c r="N52" s="204">
        <f>SUM(N49:N51)</f>
        <v>0</v>
      </c>
      <c r="P52" s="204">
        <f>SUM(P49:P51)</f>
        <v>0</v>
      </c>
      <c r="Q52" s="204"/>
      <c r="R52" s="204">
        <f>SUM(R49:R51)</f>
        <v>0</v>
      </c>
      <c r="T52" s="204">
        <f>SUM(T49:T51)</f>
        <v>0</v>
      </c>
      <c r="U52" s="204"/>
      <c r="V52" s="204">
        <f>SUM(V49:V51)</f>
        <v>0</v>
      </c>
      <c r="X52" s="204">
        <f>SUM(X49:X51)</f>
        <v>0</v>
      </c>
      <c r="Y52" s="204"/>
      <c r="Z52" s="204">
        <f>SUM(Z49:Z51)</f>
        <v>0</v>
      </c>
      <c r="AB52" s="204">
        <f>SUM(AB49:AB51)</f>
        <v>0</v>
      </c>
      <c r="AC52" s="204"/>
      <c r="AD52" s="204">
        <f>SUM(AD49:AD51)</f>
        <v>0</v>
      </c>
    </row>
  </sheetData>
  <mergeCells count="40">
    <mergeCell ref="K3:L3"/>
    <mergeCell ref="U24:V24"/>
    <mergeCell ref="B3:B4"/>
    <mergeCell ref="B24:B25"/>
    <mergeCell ref="AA24:AB24"/>
    <mergeCell ref="M3:N3"/>
    <mergeCell ref="C3:D3"/>
    <mergeCell ref="E3:F3"/>
    <mergeCell ref="G3:H3"/>
    <mergeCell ref="P2:R4"/>
    <mergeCell ref="M24:N24"/>
    <mergeCell ref="G24:H24"/>
    <mergeCell ref="K24:L24"/>
    <mergeCell ref="B2:N2"/>
    <mergeCell ref="B23:AD23"/>
    <mergeCell ref="AC24:AD24"/>
    <mergeCell ref="I24:J24"/>
    <mergeCell ref="AN22:AT22"/>
    <mergeCell ref="AN24:AP24"/>
    <mergeCell ref="AQ24:AQ25"/>
    <mergeCell ref="AJ23:AL23"/>
    <mergeCell ref="AJ24:AJ25"/>
    <mergeCell ref="AK24:AK25"/>
    <mergeCell ref="AL24:AL25"/>
    <mergeCell ref="C24:D24"/>
    <mergeCell ref="I3:J3"/>
    <mergeCell ref="C48:AD48"/>
    <mergeCell ref="AR23:AT23"/>
    <mergeCell ref="AR24:AR25"/>
    <mergeCell ref="AS24:AS25"/>
    <mergeCell ref="AT24:AT25"/>
    <mergeCell ref="O24:P24"/>
    <mergeCell ref="Q24:R24"/>
    <mergeCell ref="W24:X24"/>
    <mergeCell ref="Y24:Z24"/>
    <mergeCell ref="S24:T24"/>
    <mergeCell ref="C41:AD41"/>
    <mergeCell ref="AI24:AI25"/>
    <mergeCell ref="AF24:AH24"/>
    <mergeCell ref="E24:F24"/>
  </mergeCells>
  <phoneticPr fontId="19" type="noConversion"/>
  <printOptions horizontalCentered="1"/>
  <pageMargins left="0.11811023622047245" right="0.11811023622047245" top="0.15748031496062992" bottom="0.15748031496062992" header="0.31496062992125984" footer="0.31496062992125984"/>
  <pageSetup paperSize="5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10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24" sqref="Z24"/>
    </sheetView>
  </sheetViews>
  <sheetFormatPr baseColWidth="10" defaultRowHeight="15" x14ac:dyDescent="0.25"/>
  <cols>
    <col min="1" max="1" width="2.85546875" customWidth="1"/>
    <col min="2" max="2" width="5" customWidth="1"/>
    <col min="3" max="3" width="43.5703125" style="333" customWidth="1"/>
    <col min="4" max="7" width="4.7109375" style="332" customWidth="1"/>
    <col min="8" max="8" width="4.7109375" customWidth="1"/>
    <col min="9" max="12" width="6.28515625" customWidth="1"/>
    <col min="13" max="13" width="4.28515625" customWidth="1"/>
    <col min="14" max="14" width="5" customWidth="1"/>
    <col min="15" max="15" width="43.5703125" style="333" customWidth="1"/>
    <col min="16" max="19" width="4.7109375" style="332" customWidth="1"/>
    <col min="20" max="20" width="4.28515625" customWidth="1"/>
    <col min="21" max="24" width="6.28515625" customWidth="1"/>
    <col min="25" max="25" width="3.140625" customWidth="1"/>
    <col min="27" max="30" width="5.7109375" style="331" customWidth="1"/>
  </cols>
  <sheetData>
    <row r="1" spans="2:29" ht="17.25" customHeight="1" thickBot="1" x14ac:dyDescent="0.3">
      <c r="C1" s="578" t="s">
        <v>429</v>
      </c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</row>
    <row r="2" spans="2:29" ht="15.75" thickBot="1" x14ac:dyDescent="0.3">
      <c r="B2" s="574" t="s">
        <v>412</v>
      </c>
      <c r="C2" s="575"/>
      <c r="D2" s="575"/>
      <c r="E2" s="575"/>
      <c r="F2" s="575"/>
      <c r="G2" s="576"/>
      <c r="N2" s="574" t="s">
        <v>413</v>
      </c>
      <c r="O2" s="575"/>
      <c r="P2" s="575"/>
      <c r="Q2" s="575"/>
      <c r="R2" s="575"/>
      <c r="S2" s="576"/>
    </row>
    <row r="3" spans="2:29" ht="78.75" customHeight="1" thickBot="1" x14ac:dyDescent="0.3">
      <c r="B3" s="327" t="s">
        <v>308</v>
      </c>
      <c r="C3" s="328" t="s">
        <v>402</v>
      </c>
      <c r="D3" s="329" t="s">
        <v>405</v>
      </c>
      <c r="E3" s="329" t="s">
        <v>403</v>
      </c>
      <c r="F3" s="334" t="s">
        <v>406</v>
      </c>
      <c r="G3" s="330" t="s">
        <v>404</v>
      </c>
      <c r="I3" s="340" t="s">
        <v>340</v>
      </c>
      <c r="J3" s="340" t="s">
        <v>341</v>
      </c>
      <c r="K3" s="340" t="s">
        <v>342</v>
      </c>
      <c r="L3" s="340" t="s">
        <v>343</v>
      </c>
      <c r="N3" s="327" t="s">
        <v>308</v>
      </c>
      <c r="O3" s="328" t="s">
        <v>402</v>
      </c>
      <c r="P3" s="329" t="s">
        <v>405</v>
      </c>
      <c r="Q3" s="329" t="s">
        <v>403</v>
      </c>
      <c r="R3" s="334" t="s">
        <v>406</v>
      </c>
      <c r="S3" s="330" t="s">
        <v>404</v>
      </c>
      <c r="U3" s="340" t="s">
        <v>340</v>
      </c>
      <c r="V3" s="340" t="s">
        <v>341</v>
      </c>
      <c r="W3" s="340" t="s">
        <v>342</v>
      </c>
      <c r="X3" s="340" t="s">
        <v>343</v>
      </c>
      <c r="Y3" s="340"/>
    </row>
    <row r="4" spans="2:29" x14ac:dyDescent="0.25">
      <c r="B4" s="579">
        <v>1</v>
      </c>
      <c r="C4" s="335"/>
      <c r="D4" s="341"/>
      <c r="E4" s="341"/>
      <c r="F4" s="341"/>
      <c r="G4" s="342"/>
      <c r="I4" s="577" t="s">
        <v>416</v>
      </c>
      <c r="J4" s="577"/>
      <c r="K4" s="577"/>
      <c r="L4" s="577"/>
      <c r="N4" s="579">
        <v>1</v>
      </c>
      <c r="O4" s="335"/>
      <c r="P4" s="335"/>
      <c r="Q4" s="335"/>
      <c r="R4" s="335"/>
      <c r="S4" s="336"/>
      <c r="U4" s="577" t="s">
        <v>416</v>
      </c>
      <c r="V4" s="577"/>
      <c r="W4" s="577"/>
      <c r="X4" s="577"/>
      <c r="AA4" s="331" t="s">
        <v>407</v>
      </c>
      <c r="AB4" s="331" t="s">
        <v>410</v>
      </c>
      <c r="AC4" s="331" t="s">
        <v>340</v>
      </c>
    </row>
    <row r="5" spans="2:29" x14ac:dyDescent="0.25">
      <c r="B5" s="580"/>
      <c r="C5" s="337"/>
      <c r="D5" s="341"/>
      <c r="E5" s="341"/>
      <c r="F5" s="341"/>
      <c r="G5" s="342"/>
      <c r="I5" s="150">
        <f>SUMIF($G4:$G11,I$3,$F4:$F11)+SUMIFS($F4:$F11,$G4:$G11,I$3,$E4:$E11,$AB$5)</f>
        <v>0</v>
      </c>
      <c r="J5" s="150">
        <f t="shared" ref="J5:L5" si="0">SUMIF($G4:$G11,J$3,$F4:$F11)+SUMIFS($F4:$F11,$G4:$G11,J$3,$E4:$E11,$AB$5)</f>
        <v>0</v>
      </c>
      <c r="K5" s="150">
        <f t="shared" si="0"/>
        <v>0</v>
      </c>
      <c r="L5" s="150">
        <f t="shared" si="0"/>
        <v>0</v>
      </c>
      <c r="N5" s="580"/>
      <c r="O5" s="337"/>
      <c r="P5" s="341"/>
      <c r="Q5" s="341"/>
      <c r="R5" s="341"/>
      <c r="S5" s="342"/>
      <c r="U5" s="150">
        <f>SUMIF($S4:$S11,U$3,$R4:$R11)+SUMIFS($R4:$R11,$S4:$S11,U$3,$Q4:$Q11,$AB$5)</f>
        <v>0</v>
      </c>
      <c r="V5" s="150">
        <f t="shared" ref="V5:X5" si="1">SUMIF($S4:$S11,V$3,$R4:$R11)+SUMIFS($R4:$R11,$S4:$S11,V$3,$Q4:$Q11,$AB$5)</f>
        <v>0</v>
      </c>
      <c r="W5" s="150">
        <f t="shared" si="1"/>
        <v>0</v>
      </c>
      <c r="X5" s="150">
        <f t="shared" si="1"/>
        <v>0</v>
      </c>
      <c r="AA5" s="331" t="s">
        <v>408</v>
      </c>
      <c r="AB5" s="331" t="s">
        <v>411</v>
      </c>
      <c r="AC5" s="331" t="s">
        <v>341</v>
      </c>
    </row>
    <row r="6" spans="2:29" x14ac:dyDescent="0.25">
      <c r="B6" s="580"/>
      <c r="C6" s="337"/>
      <c r="D6" s="341"/>
      <c r="E6" s="341"/>
      <c r="F6" s="341"/>
      <c r="G6" s="342"/>
      <c r="I6" s="577" t="s">
        <v>417</v>
      </c>
      <c r="J6" s="577"/>
      <c r="K6" s="577"/>
      <c r="L6" s="577"/>
      <c r="N6" s="580"/>
      <c r="O6" s="337"/>
      <c r="P6" s="341"/>
      <c r="Q6" s="341"/>
      <c r="R6" s="341"/>
      <c r="S6" s="342"/>
      <c r="U6" s="577" t="s">
        <v>417</v>
      </c>
      <c r="V6" s="577"/>
      <c r="W6" s="577"/>
      <c r="X6" s="577"/>
      <c r="AA6" s="331" t="s">
        <v>409</v>
      </c>
      <c r="AC6" s="331" t="s">
        <v>342</v>
      </c>
    </row>
    <row r="7" spans="2:29" x14ac:dyDescent="0.25">
      <c r="B7" s="580"/>
      <c r="C7" s="337"/>
      <c r="D7" s="341"/>
      <c r="E7" s="341"/>
      <c r="F7" s="341"/>
      <c r="G7" s="342"/>
      <c r="I7" s="331">
        <f>I5*'ESTUDIANTES Y DOCENTES'!$AI$26</f>
        <v>0</v>
      </c>
      <c r="J7" s="331">
        <f>J5*'ESTUDIANTES Y DOCENTES'!$AI$26</f>
        <v>0</v>
      </c>
      <c r="K7" s="331">
        <f>K5*'ESTUDIANTES Y DOCENTES'!$AI$26</f>
        <v>0</v>
      </c>
      <c r="L7" s="331">
        <f>L5*'ESTUDIANTES Y DOCENTES'!$AI$26</f>
        <v>0</v>
      </c>
      <c r="N7" s="580"/>
      <c r="O7" s="337"/>
      <c r="P7" s="341"/>
      <c r="Q7" s="341"/>
      <c r="R7" s="341"/>
      <c r="S7" s="342"/>
      <c r="U7" s="331">
        <f>U5*'ESTUDIANTES Y DOCENTES'!$AQ$26</f>
        <v>0</v>
      </c>
      <c r="V7" s="331">
        <f>V5*'ESTUDIANTES Y DOCENTES'!$AQ$26</f>
        <v>0</v>
      </c>
      <c r="W7" s="331">
        <f>W5*'ESTUDIANTES Y DOCENTES'!$AQ$26</f>
        <v>0</v>
      </c>
      <c r="X7" s="331">
        <f>X5*'ESTUDIANTES Y DOCENTES'!$AQ$26</f>
        <v>0</v>
      </c>
      <c r="AC7" s="331" t="s">
        <v>343</v>
      </c>
    </row>
    <row r="8" spans="2:29" x14ac:dyDescent="0.25">
      <c r="B8" s="580"/>
      <c r="C8" s="337"/>
      <c r="D8" s="341"/>
      <c r="E8" s="341"/>
      <c r="F8" s="341"/>
      <c r="G8" s="342"/>
      <c r="I8" s="577" t="s">
        <v>418</v>
      </c>
      <c r="J8" s="577"/>
      <c r="K8" s="577"/>
      <c r="L8" s="577"/>
      <c r="N8" s="580"/>
      <c r="O8" s="337"/>
      <c r="P8" s="341"/>
      <c r="Q8" s="341"/>
      <c r="R8" s="341"/>
      <c r="S8" s="342"/>
      <c r="U8" s="577" t="s">
        <v>419</v>
      </c>
      <c r="V8" s="577"/>
      <c r="W8" s="577"/>
      <c r="X8" s="577"/>
    </row>
    <row r="9" spans="2:29" x14ac:dyDescent="0.25">
      <c r="B9" s="580"/>
      <c r="C9" s="337"/>
      <c r="D9" s="341"/>
      <c r="E9" s="341"/>
      <c r="F9" s="341"/>
      <c r="G9" s="342"/>
      <c r="I9" s="331">
        <f>I7</f>
        <v>0</v>
      </c>
      <c r="J9" s="331">
        <f t="shared" ref="J9:L9" si="2">J7</f>
        <v>0</v>
      </c>
      <c r="K9" s="331">
        <f t="shared" si="2"/>
        <v>0</v>
      </c>
      <c r="L9" s="331">
        <f t="shared" si="2"/>
        <v>0</v>
      </c>
      <c r="N9" s="580"/>
      <c r="O9" s="337"/>
      <c r="P9" s="341"/>
      <c r="Q9" s="341"/>
      <c r="R9" s="341"/>
      <c r="S9" s="342"/>
      <c r="U9" s="331">
        <f>U17+U7</f>
        <v>0</v>
      </c>
      <c r="V9" s="331">
        <f t="shared" ref="V9:X9" si="3">V17+V7</f>
        <v>0</v>
      </c>
      <c r="W9" s="331">
        <f t="shared" si="3"/>
        <v>0</v>
      </c>
      <c r="X9" s="331">
        <f t="shared" si="3"/>
        <v>0</v>
      </c>
    </row>
    <row r="10" spans="2:29" x14ac:dyDescent="0.25">
      <c r="B10" s="580"/>
      <c r="C10" s="337"/>
      <c r="D10" s="341"/>
      <c r="E10" s="341"/>
      <c r="F10" s="341"/>
      <c r="G10" s="342"/>
      <c r="N10" s="580"/>
      <c r="O10" s="337"/>
      <c r="P10" s="341"/>
      <c r="Q10" s="341"/>
      <c r="R10" s="341"/>
      <c r="S10" s="342"/>
    </row>
    <row r="11" spans="2:29" ht="15.75" thickBot="1" x14ac:dyDescent="0.3">
      <c r="B11" s="581"/>
      <c r="C11" s="338"/>
      <c r="D11" s="338"/>
      <c r="E11" s="338"/>
      <c r="F11" s="338"/>
      <c r="G11" s="339"/>
      <c r="I11" s="150"/>
      <c r="J11" s="150"/>
      <c r="K11" s="150"/>
      <c r="L11" s="150"/>
      <c r="N11" s="581"/>
      <c r="O11" s="338"/>
      <c r="P11" s="338"/>
      <c r="Q11" s="338"/>
      <c r="R11" s="338"/>
      <c r="S11" s="339"/>
      <c r="Y11" s="331"/>
    </row>
    <row r="12" spans="2:29" x14ac:dyDescent="0.25">
      <c r="B12" s="579">
        <v>2</v>
      </c>
      <c r="C12" s="335"/>
      <c r="D12" s="341"/>
      <c r="E12" s="341"/>
      <c r="F12" s="341"/>
      <c r="G12" s="342"/>
      <c r="I12" s="577" t="s">
        <v>416</v>
      </c>
      <c r="J12" s="577"/>
      <c r="K12" s="577"/>
      <c r="L12" s="577"/>
      <c r="N12" s="579">
        <v>2</v>
      </c>
      <c r="O12" s="335"/>
      <c r="P12" s="335"/>
      <c r="Q12" s="335"/>
      <c r="R12" s="335"/>
      <c r="S12" s="336"/>
      <c r="U12" s="577" t="s">
        <v>416</v>
      </c>
      <c r="V12" s="577"/>
      <c r="W12" s="577"/>
      <c r="X12" s="577"/>
    </row>
    <row r="13" spans="2:29" x14ac:dyDescent="0.25">
      <c r="B13" s="580"/>
      <c r="C13" s="337"/>
      <c r="D13" s="341"/>
      <c r="E13" s="341"/>
      <c r="F13" s="341"/>
      <c r="G13" s="342"/>
      <c r="I13" s="150">
        <f>SUMIF($G12:$G19,I$3,$F12:$F19)+SUMIFS($F12:$F19,$G12:$G19,I$3,$E12:$E19,$AB$5)</f>
        <v>0</v>
      </c>
      <c r="J13" s="150">
        <f t="shared" ref="J13" si="4">SUMIF($G12:$G19,J$3,$F12:$F19)+SUMIFS($F12:$F19,$G12:$G19,J$3,$E12:$E19,$AB$5)</f>
        <v>0</v>
      </c>
      <c r="K13" s="150">
        <f t="shared" ref="K13" si="5">SUMIF($G12:$G19,K$3,$F12:$F19)+SUMIFS($F12:$F19,$G12:$G19,K$3,$E12:$E19,$AB$5)</f>
        <v>0</v>
      </c>
      <c r="L13" s="150">
        <f t="shared" ref="L13" si="6">SUMIF($G12:$G19,L$3,$F12:$F19)+SUMIFS($F12:$F19,$G12:$G19,L$3,$E12:$E19,$AB$5)</f>
        <v>0</v>
      </c>
      <c r="N13" s="580"/>
      <c r="O13" s="337"/>
      <c r="P13" s="341"/>
      <c r="Q13" s="341"/>
      <c r="R13" s="341"/>
      <c r="S13" s="342"/>
      <c r="U13" s="150">
        <f>SUMIF($S12:$S19,U$3,$R12:$R19)+SUMIFS($R12:$R19,$S12:$S19,U$3,$Q12:$Q19,$AB$5)</f>
        <v>0</v>
      </c>
      <c r="V13" s="150">
        <f t="shared" ref="V13" si="7">SUMIF($S12:$S19,V$3,$R12:$R19)+SUMIFS($R12:$R19,$S12:$S19,V$3,$Q12:$Q19,$AB$5)</f>
        <v>0</v>
      </c>
      <c r="W13" s="150">
        <f t="shared" ref="W13" si="8">SUMIF($S12:$S19,W$3,$R12:$R19)+SUMIFS($R12:$R19,$S12:$S19,W$3,$Q12:$Q19,$AB$5)</f>
        <v>0</v>
      </c>
      <c r="X13" s="150">
        <f t="shared" ref="X13" si="9">SUMIF($S12:$S19,X$3,$R12:$R19)+SUMIFS($R12:$R19,$S12:$S19,X$3,$Q12:$Q19,$AB$5)</f>
        <v>0</v>
      </c>
    </row>
    <row r="14" spans="2:29" x14ac:dyDescent="0.25">
      <c r="B14" s="580"/>
      <c r="C14" s="337"/>
      <c r="D14" s="341"/>
      <c r="E14" s="341"/>
      <c r="F14" s="341"/>
      <c r="G14" s="342"/>
      <c r="I14" s="577" t="s">
        <v>417</v>
      </c>
      <c r="J14" s="577"/>
      <c r="K14" s="577"/>
      <c r="L14" s="577"/>
      <c r="N14" s="580"/>
      <c r="O14" s="337"/>
      <c r="P14" s="341"/>
      <c r="Q14" s="341"/>
      <c r="R14" s="341"/>
      <c r="S14" s="342"/>
      <c r="U14" s="577" t="s">
        <v>417</v>
      </c>
      <c r="V14" s="577"/>
      <c r="W14" s="577"/>
      <c r="X14" s="577"/>
    </row>
    <row r="15" spans="2:29" x14ac:dyDescent="0.25">
      <c r="B15" s="580"/>
      <c r="C15" s="337"/>
      <c r="D15" s="341"/>
      <c r="E15" s="341"/>
      <c r="F15" s="341"/>
      <c r="G15" s="342"/>
      <c r="I15" s="331">
        <f>I13*'ESTUDIANTES Y DOCENTES'!$AI$27</f>
        <v>0</v>
      </c>
      <c r="J15" s="331">
        <f>J13*'ESTUDIANTES Y DOCENTES'!$AI$27</f>
        <v>0</v>
      </c>
      <c r="K15" s="331">
        <f>K13*'ESTUDIANTES Y DOCENTES'!$AI$27</f>
        <v>0</v>
      </c>
      <c r="L15" s="331">
        <f>L13*'ESTUDIANTES Y DOCENTES'!$AI$27</f>
        <v>0</v>
      </c>
      <c r="N15" s="580"/>
      <c r="O15" s="337"/>
      <c r="P15" s="341"/>
      <c r="Q15" s="341"/>
      <c r="R15" s="341"/>
      <c r="S15" s="342"/>
      <c r="U15" s="331">
        <f>U13*'ESTUDIANTES Y DOCENTES'!$AQ$27</f>
        <v>0</v>
      </c>
      <c r="V15" s="331">
        <f>V13*'ESTUDIANTES Y DOCENTES'!$AQ$27</f>
        <v>0</v>
      </c>
      <c r="W15" s="331">
        <f>W13*'ESTUDIANTES Y DOCENTES'!$AQ$27</f>
        <v>0</v>
      </c>
      <c r="X15" s="331">
        <f>X13*'ESTUDIANTES Y DOCENTES'!$AQ$27</f>
        <v>0</v>
      </c>
    </row>
    <row r="16" spans="2:29" x14ac:dyDescent="0.25">
      <c r="B16" s="580"/>
      <c r="C16" s="337"/>
      <c r="D16" s="341"/>
      <c r="E16" s="341"/>
      <c r="F16" s="341"/>
      <c r="G16" s="342"/>
      <c r="I16" s="577" t="s">
        <v>418</v>
      </c>
      <c r="J16" s="577"/>
      <c r="K16" s="577"/>
      <c r="L16" s="577"/>
      <c r="N16" s="580"/>
      <c r="O16" s="337"/>
      <c r="P16" s="341"/>
      <c r="Q16" s="341"/>
      <c r="R16" s="341"/>
      <c r="S16" s="342"/>
      <c r="U16" s="577" t="s">
        <v>419</v>
      </c>
      <c r="V16" s="577"/>
      <c r="W16" s="577"/>
      <c r="X16" s="577"/>
    </row>
    <row r="17" spans="2:25" x14ac:dyDescent="0.25">
      <c r="B17" s="580"/>
      <c r="C17" s="337"/>
      <c r="D17" s="341"/>
      <c r="E17" s="341"/>
      <c r="F17" s="341"/>
      <c r="G17" s="342"/>
      <c r="I17" s="331">
        <f>I15+I9</f>
        <v>0</v>
      </c>
      <c r="J17" s="331">
        <f t="shared" ref="J17:L17" si="10">J15+J9</f>
        <v>0</v>
      </c>
      <c r="K17" s="331">
        <f t="shared" si="10"/>
        <v>0</v>
      </c>
      <c r="L17" s="331">
        <f t="shared" si="10"/>
        <v>0</v>
      </c>
      <c r="N17" s="580"/>
      <c r="O17" s="337"/>
      <c r="P17" s="341"/>
      <c r="Q17" s="341"/>
      <c r="R17" s="341"/>
      <c r="S17" s="342"/>
      <c r="U17" s="331">
        <f>U25+U15</f>
        <v>0</v>
      </c>
      <c r="V17" s="331">
        <f t="shared" ref="V17:X17" si="11">V25+V15</f>
        <v>0</v>
      </c>
      <c r="W17" s="331">
        <f t="shared" si="11"/>
        <v>0</v>
      </c>
      <c r="X17" s="331">
        <f t="shared" si="11"/>
        <v>0</v>
      </c>
    </row>
    <row r="18" spans="2:25" x14ac:dyDescent="0.25">
      <c r="B18" s="580"/>
      <c r="C18" s="337"/>
      <c r="D18" s="341"/>
      <c r="E18" s="341"/>
      <c r="F18" s="341"/>
      <c r="G18" s="342"/>
      <c r="N18" s="580"/>
      <c r="O18" s="337"/>
      <c r="P18" s="341"/>
      <c r="Q18" s="341"/>
      <c r="R18" s="341"/>
      <c r="S18" s="342"/>
    </row>
    <row r="19" spans="2:25" ht="15.75" thickBot="1" x14ac:dyDescent="0.3">
      <c r="B19" s="581"/>
      <c r="C19" s="338"/>
      <c r="D19" s="338"/>
      <c r="E19" s="338"/>
      <c r="F19" s="338"/>
      <c r="G19" s="339"/>
      <c r="I19" s="150"/>
      <c r="J19" s="150"/>
      <c r="K19" s="150"/>
      <c r="L19" s="150"/>
      <c r="N19" s="581"/>
      <c r="O19" s="338"/>
      <c r="P19" s="338"/>
      <c r="Q19" s="338"/>
      <c r="R19" s="338"/>
      <c r="S19" s="339"/>
      <c r="Y19" s="331"/>
    </row>
    <row r="20" spans="2:25" x14ac:dyDescent="0.25">
      <c r="B20" s="579">
        <v>3</v>
      </c>
      <c r="C20" s="335"/>
      <c r="D20" s="335"/>
      <c r="E20" s="335"/>
      <c r="F20" s="335"/>
      <c r="G20" s="336"/>
      <c r="I20" s="577" t="s">
        <v>416</v>
      </c>
      <c r="J20" s="577"/>
      <c r="K20" s="577"/>
      <c r="L20" s="577"/>
      <c r="N20" s="579">
        <v>3</v>
      </c>
      <c r="O20" s="335"/>
      <c r="P20" s="335"/>
      <c r="Q20" s="335"/>
      <c r="R20" s="335"/>
      <c r="S20" s="336"/>
      <c r="U20" s="577" t="s">
        <v>416</v>
      </c>
      <c r="V20" s="577"/>
      <c r="W20" s="577"/>
      <c r="X20" s="577"/>
    </row>
    <row r="21" spans="2:25" x14ac:dyDescent="0.25">
      <c r="B21" s="580"/>
      <c r="C21" s="337"/>
      <c r="D21" s="341"/>
      <c r="E21" s="341"/>
      <c r="F21" s="341"/>
      <c r="G21" s="342"/>
      <c r="I21" s="150">
        <f>SUMIF($G20:$G27,I$3,$F20:$F27)+SUMIFS($F20:$F27,$G20:$G27,I$3,$E20:$E27,$AB$5)</f>
        <v>0</v>
      </c>
      <c r="J21" s="150">
        <f t="shared" ref="J21" si="12">SUMIF($G20:$G27,J$3,$F20:$F27)+SUMIFS($F20:$F27,$G20:$G27,J$3,$E20:$E27,$AB$5)</f>
        <v>0</v>
      </c>
      <c r="K21" s="150">
        <f t="shared" ref="K21" si="13">SUMIF($G20:$G27,K$3,$F20:$F27)+SUMIFS($F20:$F27,$G20:$G27,K$3,$E20:$E27,$AB$5)</f>
        <v>0</v>
      </c>
      <c r="L21" s="150">
        <f t="shared" ref="L21" si="14">SUMIF($G20:$G27,L$3,$F20:$F27)+SUMIFS($F20:$F27,$G20:$G27,L$3,$E20:$E27,$AB$5)</f>
        <v>0</v>
      </c>
      <c r="N21" s="580"/>
      <c r="O21" s="337"/>
      <c r="P21" s="341"/>
      <c r="Q21" s="341"/>
      <c r="R21" s="341"/>
      <c r="S21" s="342"/>
      <c r="U21" s="150">
        <f>SUMIF($S20:$S27,U$3,$R20:$R27)+SUMIFS($R20:$R27,$S20:$S27,U$3,$Q20:$Q27,$AB$5)</f>
        <v>0</v>
      </c>
      <c r="V21" s="150">
        <f t="shared" ref="V21" si="15">SUMIF($S20:$S27,V$3,$R20:$R27)+SUMIFS($R20:$R27,$S20:$S27,V$3,$Q20:$Q27,$AB$5)</f>
        <v>0</v>
      </c>
      <c r="W21" s="150">
        <f t="shared" ref="W21" si="16">SUMIF($S20:$S27,W$3,$R20:$R27)+SUMIFS($R20:$R27,$S20:$S27,W$3,$Q20:$Q27,$AB$5)</f>
        <v>0</v>
      </c>
      <c r="X21" s="150">
        <f t="shared" ref="X21" si="17">SUMIF($S20:$S27,X$3,$R20:$R27)+SUMIFS($R20:$R27,$S20:$S27,X$3,$Q20:$Q27,$AB$5)</f>
        <v>0</v>
      </c>
    </row>
    <row r="22" spans="2:25" x14ac:dyDescent="0.25">
      <c r="B22" s="580"/>
      <c r="C22" s="337"/>
      <c r="D22" s="341"/>
      <c r="E22" s="341"/>
      <c r="F22" s="341"/>
      <c r="G22" s="342"/>
      <c r="I22" s="577" t="s">
        <v>417</v>
      </c>
      <c r="J22" s="577"/>
      <c r="K22" s="577"/>
      <c r="L22" s="577"/>
      <c r="N22" s="580"/>
      <c r="O22" s="337"/>
      <c r="P22" s="341"/>
      <c r="Q22" s="341"/>
      <c r="R22" s="341"/>
      <c r="S22" s="342"/>
      <c r="U22" s="577" t="s">
        <v>417</v>
      </c>
      <c r="V22" s="577"/>
      <c r="W22" s="577"/>
      <c r="X22" s="577"/>
    </row>
    <row r="23" spans="2:25" x14ac:dyDescent="0.25">
      <c r="B23" s="580"/>
      <c r="C23" s="337"/>
      <c r="D23" s="341"/>
      <c r="E23" s="341"/>
      <c r="F23" s="341"/>
      <c r="G23" s="342"/>
      <c r="I23" s="331">
        <f>I21*'ESTUDIANTES Y DOCENTES'!$AI$28</f>
        <v>0</v>
      </c>
      <c r="J23" s="331">
        <f>J21*'ESTUDIANTES Y DOCENTES'!$AI$28</f>
        <v>0</v>
      </c>
      <c r="K23" s="331">
        <f>K21*'ESTUDIANTES Y DOCENTES'!$AI$28</f>
        <v>0</v>
      </c>
      <c r="L23" s="331">
        <f>L21*'ESTUDIANTES Y DOCENTES'!$AI$28</f>
        <v>0</v>
      </c>
      <c r="N23" s="580"/>
      <c r="O23" s="337"/>
      <c r="P23" s="341"/>
      <c r="Q23" s="341"/>
      <c r="R23" s="341"/>
      <c r="S23" s="342"/>
      <c r="U23" s="331">
        <f>U21*'ESTUDIANTES Y DOCENTES'!$AQ$28</f>
        <v>0</v>
      </c>
      <c r="V23" s="331">
        <f>V21*'ESTUDIANTES Y DOCENTES'!$AQ$28</f>
        <v>0</v>
      </c>
      <c r="W23" s="331">
        <f>W21*'ESTUDIANTES Y DOCENTES'!$AQ$28</f>
        <v>0</v>
      </c>
      <c r="X23" s="331">
        <f>X21*'ESTUDIANTES Y DOCENTES'!$AQ$28</f>
        <v>0</v>
      </c>
    </row>
    <row r="24" spans="2:25" x14ac:dyDescent="0.25">
      <c r="B24" s="580"/>
      <c r="C24" s="337"/>
      <c r="D24" s="341"/>
      <c r="E24" s="341"/>
      <c r="F24" s="341"/>
      <c r="G24" s="342"/>
      <c r="I24" s="577" t="s">
        <v>418</v>
      </c>
      <c r="J24" s="577"/>
      <c r="K24" s="577"/>
      <c r="L24" s="577"/>
      <c r="N24" s="580"/>
      <c r="O24" s="337"/>
      <c r="P24" s="341"/>
      <c r="Q24" s="341"/>
      <c r="R24" s="341"/>
      <c r="S24" s="342"/>
      <c r="U24" s="577" t="s">
        <v>419</v>
      </c>
      <c r="V24" s="577"/>
      <c r="W24" s="577"/>
      <c r="X24" s="577"/>
    </row>
    <row r="25" spans="2:25" x14ac:dyDescent="0.25">
      <c r="B25" s="580"/>
      <c r="C25" s="337"/>
      <c r="D25" s="341"/>
      <c r="E25" s="341"/>
      <c r="F25" s="341"/>
      <c r="G25" s="342"/>
      <c r="I25" s="331">
        <f>I23+I17</f>
        <v>0</v>
      </c>
      <c r="J25" s="331">
        <f t="shared" ref="J25:L25" si="18">J23+J17</f>
        <v>0</v>
      </c>
      <c r="K25" s="331">
        <f t="shared" si="18"/>
        <v>0</v>
      </c>
      <c r="L25" s="331">
        <f t="shared" si="18"/>
        <v>0</v>
      </c>
      <c r="N25" s="580"/>
      <c r="O25" s="337"/>
      <c r="P25" s="341"/>
      <c r="Q25" s="341"/>
      <c r="R25" s="341"/>
      <c r="S25" s="342"/>
      <c r="U25" s="331">
        <f>U33+U23</f>
        <v>0</v>
      </c>
      <c r="V25" s="331">
        <f t="shared" ref="V25:X25" si="19">V33+V23</f>
        <v>0</v>
      </c>
      <c r="W25" s="331">
        <f t="shared" si="19"/>
        <v>0</v>
      </c>
      <c r="X25" s="331">
        <f t="shared" si="19"/>
        <v>0</v>
      </c>
    </row>
    <row r="26" spans="2:25" x14ac:dyDescent="0.25">
      <c r="B26" s="580"/>
      <c r="C26" s="337"/>
      <c r="D26" s="341"/>
      <c r="E26" s="341"/>
      <c r="F26" s="341"/>
      <c r="G26" s="342"/>
      <c r="N26" s="580"/>
      <c r="O26" s="337"/>
      <c r="P26" s="341"/>
      <c r="Q26" s="341"/>
      <c r="R26" s="341"/>
      <c r="S26" s="342"/>
    </row>
    <row r="27" spans="2:25" ht="15.75" thickBot="1" x14ac:dyDescent="0.3">
      <c r="B27" s="581"/>
      <c r="C27" s="338"/>
      <c r="D27" s="338"/>
      <c r="E27" s="338"/>
      <c r="F27" s="338"/>
      <c r="G27" s="339"/>
      <c r="I27" s="150"/>
      <c r="J27" s="150"/>
      <c r="K27" s="150"/>
      <c r="L27" s="150"/>
      <c r="N27" s="581"/>
      <c r="O27" s="338"/>
      <c r="P27" s="338"/>
      <c r="Q27" s="338"/>
      <c r="R27" s="338"/>
      <c r="S27" s="339"/>
      <c r="Y27" s="331"/>
    </row>
    <row r="28" spans="2:25" x14ac:dyDescent="0.25">
      <c r="B28" s="579">
        <v>4</v>
      </c>
      <c r="C28" s="335"/>
      <c r="D28" s="335"/>
      <c r="E28" s="335"/>
      <c r="F28" s="335"/>
      <c r="G28" s="336"/>
      <c r="I28" s="577" t="s">
        <v>416</v>
      </c>
      <c r="J28" s="577"/>
      <c r="K28" s="577"/>
      <c r="L28" s="577"/>
      <c r="N28" s="579">
        <v>4</v>
      </c>
      <c r="O28" s="335"/>
      <c r="P28" s="335"/>
      <c r="Q28" s="335"/>
      <c r="R28" s="335"/>
      <c r="S28" s="336"/>
      <c r="U28" s="577" t="s">
        <v>416</v>
      </c>
      <c r="V28" s="577"/>
      <c r="W28" s="577"/>
      <c r="X28" s="577"/>
    </row>
    <row r="29" spans="2:25" x14ac:dyDescent="0.25">
      <c r="B29" s="580"/>
      <c r="C29" s="337"/>
      <c r="D29" s="341"/>
      <c r="E29" s="341"/>
      <c r="F29" s="341"/>
      <c r="G29" s="342"/>
      <c r="I29" s="150">
        <f>SUMIF($G28:$G35,I$3,$F28:$F35)+SUMIFS($F28:$F35,$G28:$G35,I$3,$E28:$E35,$AB$5)</f>
        <v>0</v>
      </c>
      <c r="J29" s="150">
        <f t="shared" ref="J29" si="20">SUMIF($G28:$G35,J$3,$F28:$F35)+SUMIFS($F28:$F35,$G28:$G35,J$3,$E28:$E35,$AB$5)</f>
        <v>0</v>
      </c>
      <c r="K29" s="150">
        <f t="shared" ref="K29" si="21">SUMIF($G28:$G35,K$3,$F28:$F35)+SUMIFS($F28:$F35,$G28:$G35,K$3,$E28:$E35,$AB$5)</f>
        <v>0</v>
      </c>
      <c r="L29" s="150">
        <f t="shared" ref="L29" si="22">SUMIF($G28:$G35,L$3,$F28:$F35)+SUMIFS($F28:$F35,$G28:$G35,L$3,$E28:$E35,$AB$5)</f>
        <v>0</v>
      </c>
      <c r="N29" s="580"/>
      <c r="O29" s="337"/>
      <c r="P29" s="341"/>
      <c r="Q29" s="341"/>
      <c r="R29" s="341"/>
      <c r="S29" s="342"/>
      <c r="U29" s="150">
        <f>SUMIF($S28:$S35,U$3,$R28:$R35)+SUMIFS($R28:$R35,$S28:$S35,U$3,$Q28:$Q35,$AB$5)</f>
        <v>0</v>
      </c>
      <c r="V29" s="150">
        <f t="shared" ref="V29" si="23">SUMIF($S28:$S35,V$3,$R28:$R35)+SUMIFS($R28:$R35,$S28:$S35,V$3,$Q28:$Q35,$AB$5)</f>
        <v>0</v>
      </c>
      <c r="W29" s="150">
        <f t="shared" ref="W29" si="24">SUMIF($S28:$S35,W$3,$R28:$R35)+SUMIFS($R28:$R35,$S28:$S35,W$3,$Q28:$Q35,$AB$5)</f>
        <v>0</v>
      </c>
      <c r="X29" s="150">
        <f t="shared" ref="X29" si="25">SUMIF($S28:$S35,X$3,$R28:$R35)+SUMIFS($R28:$R35,$S28:$S35,X$3,$Q28:$Q35,$AB$5)</f>
        <v>0</v>
      </c>
    </row>
    <row r="30" spans="2:25" x14ac:dyDescent="0.25">
      <c r="B30" s="580"/>
      <c r="C30" s="337"/>
      <c r="D30" s="341"/>
      <c r="E30" s="341"/>
      <c r="F30" s="341"/>
      <c r="G30" s="342"/>
      <c r="I30" s="577" t="s">
        <v>417</v>
      </c>
      <c r="J30" s="577"/>
      <c r="K30" s="577"/>
      <c r="L30" s="577"/>
      <c r="N30" s="580"/>
      <c r="O30" s="337"/>
      <c r="P30" s="341"/>
      <c r="Q30" s="341"/>
      <c r="R30" s="341"/>
      <c r="S30" s="342"/>
      <c r="U30" s="577" t="s">
        <v>417</v>
      </c>
      <c r="V30" s="577"/>
      <c r="W30" s="577"/>
      <c r="X30" s="577"/>
    </row>
    <row r="31" spans="2:25" x14ac:dyDescent="0.25">
      <c r="B31" s="580"/>
      <c r="C31" s="337"/>
      <c r="D31" s="341"/>
      <c r="E31" s="341"/>
      <c r="F31" s="341"/>
      <c r="G31" s="342"/>
      <c r="I31" s="331">
        <f>I29*'ESTUDIANTES Y DOCENTES'!$AI$29</f>
        <v>0</v>
      </c>
      <c r="J31" s="331">
        <f>J29*'ESTUDIANTES Y DOCENTES'!$AI$29</f>
        <v>0</v>
      </c>
      <c r="K31" s="331">
        <f>K29*'ESTUDIANTES Y DOCENTES'!$AI$29</f>
        <v>0</v>
      </c>
      <c r="L31" s="331">
        <f>L29*'ESTUDIANTES Y DOCENTES'!$AI$29</f>
        <v>0</v>
      </c>
      <c r="N31" s="580"/>
      <c r="O31" s="337"/>
      <c r="P31" s="341"/>
      <c r="Q31" s="341"/>
      <c r="R31" s="341"/>
      <c r="S31" s="342"/>
      <c r="U31" s="331">
        <f>U29*'ESTUDIANTES Y DOCENTES'!$AQ$29</f>
        <v>0</v>
      </c>
      <c r="V31" s="331">
        <f>V29*'ESTUDIANTES Y DOCENTES'!$AQ$29</f>
        <v>0</v>
      </c>
      <c r="W31" s="331">
        <f>W29*'ESTUDIANTES Y DOCENTES'!$AQ$29</f>
        <v>0</v>
      </c>
      <c r="X31" s="331">
        <f>X29*'ESTUDIANTES Y DOCENTES'!$AQ$29</f>
        <v>0</v>
      </c>
    </row>
    <row r="32" spans="2:25" x14ac:dyDescent="0.25">
      <c r="B32" s="580"/>
      <c r="C32" s="337"/>
      <c r="D32" s="341"/>
      <c r="E32" s="341"/>
      <c r="F32" s="341"/>
      <c r="G32" s="342"/>
      <c r="I32" s="577" t="s">
        <v>418</v>
      </c>
      <c r="J32" s="577"/>
      <c r="K32" s="577"/>
      <c r="L32" s="577"/>
      <c r="N32" s="580"/>
      <c r="O32" s="337"/>
      <c r="P32" s="341"/>
      <c r="Q32" s="341"/>
      <c r="R32" s="341"/>
      <c r="S32" s="342"/>
      <c r="U32" s="577" t="s">
        <v>419</v>
      </c>
      <c r="V32" s="577"/>
      <c r="W32" s="577"/>
      <c r="X32" s="577"/>
    </row>
    <row r="33" spans="2:25" x14ac:dyDescent="0.25">
      <c r="B33" s="580"/>
      <c r="C33" s="337"/>
      <c r="D33" s="341"/>
      <c r="E33" s="341"/>
      <c r="F33" s="341"/>
      <c r="G33" s="342"/>
      <c r="I33" s="331">
        <f>I31+I25</f>
        <v>0</v>
      </c>
      <c r="J33" s="331">
        <f t="shared" ref="J33:L33" si="26">J31+J25</f>
        <v>0</v>
      </c>
      <c r="K33" s="331">
        <f t="shared" si="26"/>
        <v>0</v>
      </c>
      <c r="L33" s="331">
        <f t="shared" si="26"/>
        <v>0</v>
      </c>
      <c r="N33" s="580"/>
      <c r="O33" s="337"/>
      <c r="P33" s="341"/>
      <c r="Q33" s="341"/>
      <c r="R33" s="341"/>
      <c r="S33" s="342"/>
      <c r="U33" s="331">
        <f>U41+U31</f>
        <v>0</v>
      </c>
      <c r="V33" s="331">
        <f t="shared" ref="V33:X33" si="27">V41+V31</f>
        <v>0</v>
      </c>
      <c r="W33" s="331">
        <f t="shared" si="27"/>
        <v>0</v>
      </c>
      <c r="X33" s="331">
        <f t="shared" si="27"/>
        <v>0</v>
      </c>
    </row>
    <row r="34" spans="2:25" x14ac:dyDescent="0.25">
      <c r="B34" s="580"/>
      <c r="C34" s="337"/>
      <c r="D34" s="341"/>
      <c r="E34" s="341"/>
      <c r="F34" s="341"/>
      <c r="G34" s="342"/>
      <c r="N34" s="580"/>
      <c r="O34" s="337"/>
      <c r="P34" s="341"/>
      <c r="Q34" s="341"/>
      <c r="R34" s="341"/>
      <c r="S34" s="342"/>
    </row>
    <row r="35" spans="2:25" ht="15.75" thickBot="1" x14ac:dyDescent="0.3">
      <c r="B35" s="581"/>
      <c r="C35" s="338"/>
      <c r="D35" s="338"/>
      <c r="E35" s="338"/>
      <c r="F35" s="338"/>
      <c r="G35" s="339"/>
      <c r="I35" s="150"/>
      <c r="J35" s="150"/>
      <c r="K35" s="150"/>
      <c r="L35" s="150"/>
      <c r="N35" s="581"/>
      <c r="O35" s="338"/>
      <c r="P35" s="338"/>
      <c r="Q35" s="338"/>
      <c r="R35" s="338"/>
      <c r="S35" s="339"/>
      <c r="Y35" s="331"/>
    </row>
    <row r="36" spans="2:25" x14ac:dyDescent="0.25">
      <c r="B36" s="579">
        <v>5</v>
      </c>
      <c r="C36" s="335"/>
      <c r="D36" s="335"/>
      <c r="E36" s="335"/>
      <c r="F36" s="335"/>
      <c r="G36" s="336"/>
      <c r="I36" s="577" t="s">
        <v>416</v>
      </c>
      <c r="J36" s="577"/>
      <c r="K36" s="577"/>
      <c r="L36" s="577"/>
      <c r="N36" s="579">
        <v>5</v>
      </c>
      <c r="O36" s="335"/>
      <c r="P36" s="335"/>
      <c r="Q36" s="335"/>
      <c r="R36" s="335"/>
      <c r="S36" s="336"/>
      <c r="U36" s="577" t="s">
        <v>416</v>
      </c>
      <c r="V36" s="577"/>
      <c r="W36" s="577"/>
      <c r="X36" s="577"/>
    </row>
    <row r="37" spans="2:25" x14ac:dyDescent="0.25">
      <c r="B37" s="580"/>
      <c r="C37" s="337"/>
      <c r="D37" s="341"/>
      <c r="E37" s="341"/>
      <c r="F37" s="341"/>
      <c r="G37" s="342"/>
      <c r="I37" s="150">
        <f>SUMIF($G36:$G43,I$3,$F36:$F43)+SUMIFS($F36:$F43,$G36:$G43,I$3,$E36:$E43,$AB$5)</f>
        <v>0</v>
      </c>
      <c r="J37" s="150">
        <f t="shared" ref="J37" si="28">SUMIF($G36:$G43,J$3,$F36:$F43)+SUMIFS($F36:$F43,$G36:$G43,J$3,$E36:$E43,$AB$5)</f>
        <v>0</v>
      </c>
      <c r="K37" s="150">
        <f t="shared" ref="K37" si="29">SUMIF($G36:$G43,K$3,$F36:$F43)+SUMIFS($F36:$F43,$G36:$G43,K$3,$E36:$E43,$AB$5)</f>
        <v>0</v>
      </c>
      <c r="L37" s="150">
        <f t="shared" ref="L37" si="30">SUMIF($G36:$G43,L$3,$F36:$F43)+SUMIFS($F36:$F43,$G36:$G43,L$3,$E36:$E43,$AB$5)</f>
        <v>0</v>
      </c>
      <c r="N37" s="580"/>
      <c r="O37" s="337"/>
      <c r="P37" s="341"/>
      <c r="Q37" s="341"/>
      <c r="R37" s="341"/>
      <c r="S37" s="342"/>
      <c r="U37" s="150">
        <f>SUMIF($S36:$S43,U$3,$R36:$R43)+SUMIFS($R36:$R43,$S36:$S43,U$3,$Q36:$Q43,$AB$5)</f>
        <v>0</v>
      </c>
      <c r="V37" s="150">
        <f t="shared" ref="V37" si="31">SUMIF($S36:$S43,V$3,$R36:$R43)+SUMIFS($R36:$R43,$S36:$S43,V$3,$Q36:$Q43,$AB$5)</f>
        <v>0</v>
      </c>
      <c r="W37" s="150">
        <f t="shared" ref="W37" si="32">SUMIF($S36:$S43,W$3,$R36:$R43)+SUMIFS($R36:$R43,$S36:$S43,W$3,$Q36:$Q43,$AB$5)</f>
        <v>0</v>
      </c>
      <c r="X37" s="150">
        <f t="shared" ref="X37" si="33">SUMIF($S36:$S43,X$3,$R36:$R43)+SUMIFS($R36:$R43,$S36:$S43,X$3,$Q36:$Q43,$AB$5)</f>
        <v>0</v>
      </c>
    </row>
    <row r="38" spans="2:25" x14ac:dyDescent="0.25">
      <c r="B38" s="580"/>
      <c r="C38" s="337"/>
      <c r="D38" s="341"/>
      <c r="E38" s="341"/>
      <c r="F38" s="341"/>
      <c r="G38" s="342"/>
      <c r="I38" s="577" t="s">
        <v>417</v>
      </c>
      <c r="J38" s="577"/>
      <c r="K38" s="577"/>
      <c r="L38" s="577"/>
      <c r="N38" s="580"/>
      <c r="O38" s="337"/>
      <c r="P38" s="341"/>
      <c r="Q38" s="341"/>
      <c r="R38" s="341"/>
      <c r="S38" s="342"/>
      <c r="U38" s="577" t="s">
        <v>417</v>
      </c>
      <c r="V38" s="577"/>
      <c r="W38" s="577"/>
      <c r="X38" s="577"/>
    </row>
    <row r="39" spans="2:25" x14ac:dyDescent="0.25">
      <c r="B39" s="580"/>
      <c r="C39" s="337"/>
      <c r="D39" s="341"/>
      <c r="E39" s="341"/>
      <c r="F39" s="341"/>
      <c r="G39" s="342"/>
      <c r="I39" s="331">
        <f>I37*'ESTUDIANTES Y DOCENTES'!$AI$30</f>
        <v>0</v>
      </c>
      <c r="J39" s="331">
        <f>J37*'ESTUDIANTES Y DOCENTES'!$AI$30</f>
        <v>0</v>
      </c>
      <c r="K39" s="331">
        <f>K37*'ESTUDIANTES Y DOCENTES'!$AI$30</f>
        <v>0</v>
      </c>
      <c r="L39" s="331">
        <f>L37*'ESTUDIANTES Y DOCENTES'!$AI$30</f>
        <v>0</v>
      </c>
      <c r="N39" s="580"/>
      <c r="O39" s="337"/>
      <c r="P39" s="341"/>
      <c r="Q39" s="341"/>
      <c r="R39" s="341"/>
      <c r="S39" s="342"/>
      <c r="U39" s="331">
        <f>U37*'ESTUDIANTES Y DOCENTES'!$AQ$30</f>
        <v>0</v>
      </c>
      <c r="V39" s="331">
        <f>V37*'ESTUDIANTES Y DOCENTES'!$AQ$30</f>
        <v>0</v>
      </c>
      <c r="W39" s="331">
        <f>W37*'ESTUDIANTES Y DOCENTES'!$AQ$30</f>
        <v>0</v>
      </c>
      <c r="X39" s="331">
        <f>X37*'ESTUDIANTES Y DOCENTES'!$AQ$30</f>
        <v>0</v>
      </c>
    </row>
    <row r="40" spans="2:25" x14ac:dyDescent="0.25">
      <c r="B40" s="580"/>
      <c r="C40" s="337"/>
      <c r="D40" s="341"/>
      <c r="E40" s="341"/>
      <c r="F40" s="341"/>
      <c r="G40" s="342"/>
      <c r="I40" s="577" t="s">
        <v>418</v>
      </c>
      <c r="J40" s="577"/>
      <c r="K40" s="577"/>
      <c r="L40" s="577"/>
      <c r="N40" s="580"/>
      <c r="O40" s="337"/>
      <c r="P40" s="341"/>
      <c r="Q40" s="341"/>
      <c r="R40" s="341"/>
      <c r="S40" s="342"/>
      <c r="U40" s="577" t="s">
        <v>419</v>
      </c>
      <c r="V40" s="577"/>
      <c r="W40" s="577"/>
      <c r="X40" s="577"/>
    </row>
    <row r="41" spans="2:25" x14ac:dyDescent="0.25">
      <c r="B41" s="580"/>
      <c r="C41" s="337"/>
      <c r="D41" s="341"/>
      <c r="E41" s="341"/>
      <c r="F41" s="341"/>
      <c r="G41" s="342"/>
      <c r="I41" s="331">
        <f>I39+I33</f>
        <v>0</v>
      </c>
      <c r="J41" s="331">
        <f t="shared" ref="J41:L41" si="34">J39+J33</f>
        <v>0</v>
      </c>
      <c r="K41" s="331">
        <f t="shared" si="34"/>
        <v>0</v>
      </c>
      <c r="L41" s="331">
        <f t="shared" si="34"/>
        <v>0</v>
      </c>
      <c r="N41" s="580"/>
      <c r="O41" s="337"/>
      <c r="P41" s="341"/>
      <c r="Q41" s="341"/>
      <c r="R41" s="341"/>
      <c r="S41" s="342"/>
      <c r="U41" s="331">
        <f>U49+U39</f>
        <v>0</v>
      </c>
      <c r="V41" s="331">
        <f t="shared" ref="V41:X41" si="35">V49+V39</f>
        <v>0</v>
      </c>
      <c r="W41" s="331">
        <f t="shared" si="35"/>
        <v>0</v>
      </c>
      <c r="X41" s="331">
        <f t="shared" si="35"/>
        <v>0</v>
      </c>
    </row>
    <row r="42" spans="2:25" x14ac:dyDescent="0.25">
      <c r="B42" s="580"/>
      <c r="C42" s="337"/>
      <c r="D42" s="341"/>
      <c r="E42" s="341"/>
      <c r="F42" s="341"/>
      <c r="G42" s="342"/>
      <c r="N42" s="580"/>
      <c r="O42" s="337"/>
      <c r="P42" s="341"/>
      <c r="Q42" s="341"/>
      <c r="R42" s="341"/>
      <c r="S42" s="342"/>
    </row>
    <row r="43" spans="2:25" ht="15.75" thickBot="1" x14ac:dyDescent="0.3">
      <c r="B43" s="581"/>
      <c r="C43" s="338"/>
      <c r="D43" s="338"/>
      <c r="E43" s="338"/>
      <c r="F43" s="338"/>
      <c r="G43" s="339"/>
      <c r="I43" s="150"/>
      <c r="J43" s="150"/>
      <c r="K43" s="150"/>
      <c r="L43" s="150"/>
      <c r="N43" s="581"/>
      <c r="O43" s="338"/>
      <c r="P43" s="338"/>
      <c r="Q43" s="338"/>
      <c r="R43" s="338"/>
      <c r="S43" s="339"/>
      <c r="Y43" s="331"/>
    </row>
    <row r="44" spans="2:25" x14ac:dyDescent="0.25">
      <c r="B44" s="579">
        <v>6</v>
      </c>
      <c r="C44" s="335"/>
      <c r="D44" s="335"/>
      <c r="E44" s="335"/>
      <c r="F44" s="335"/>
      <c r="G44" s="336"/>
      <c r="I44" s="577" t="s">
        <v>416</v>
      </c>
      <c r="J44" s="577"/>
      <c r="K44" s="577"/>
      <c r="L44" s="577"/>
      <c r="N44" s="579">
        <v>6</v>
      </c>
      <c r="O44" s="335"/>
      <c r="P44" s="335"/>
      <c r="Q44" s="335"/>
      <c r="R44" s="335"/>
      <c r="S44" s="336"/>
      <c r="U44" s="577" t="s">
        <v>416</v>
      </c>
      <c r="V44" s="577"/>
      <c r="W44" s="577"/>
      <c r="X44" s="577"/>
    </row>
    <row r="45" spans="2:25" x14ac:dyDescent="0.25">
      <c r="B45" s="580"/>
      <c r="C45" s="337"/>
      <c r="D45" s="341"/>
      <c r="E45" s="341"/>
      <c r="F45" s="341"/>
      <c r="G45" s="342"/>
      <c r="I45" s="150">
        <f>SUMIF($G44:$G51,I$3,$F44:$F51)+SUMIFS($F44:$F51,$G44:$G51,I$3,$E44:$E51,$AB$5)</f>
        <v>0</v>
      </c>
      <c r="J45" s="150">
        <f t="shared" ref="J45" si="36">SUMIF($G44:$G51,J$3,$F44:$F51)+SUMIFS($F44:$F51,$G44:$G51,J$3,$E44:$E51,$AB$5)</f>
        <v>0</v>
      </c>
      <c r="K45" s="150">
        <f t="shared" ref="K45" si="37">SUMIF($G44:$G51,K$3,$F44:$F51)+SUMIFS($F44:$F51,$G44:$G51,K$3,$E44:$E51,$AB$5)</f>
        <v>0</v>
      </c>
      <c r="L45" s="150">
        <f t="shared" ref="L45" si="38">SUMIF($G44:$G51,L$3,$F44:$F51)+SUMIFS($F44:$F51,$G44:$G51,L$3,$E44:$E51,$AB$5)</f>
        <v>0</v>
      </c>
      <c r="N45" s="580"/>
      <c r="O45" s="337"/>
      <c r="P45" s="341"/>
      <c r="Q45" s="341"/>
      <c r="R45" s="341"/>
      <c r="S45" s="342"/>
      <c r="U45" s="150">
        <f>SUMIF($S44:$S51,U$3,$R44:$R51)+SUMIFS($R44:$R51,$S44:$S51,U$3,$Q44:$Q51,$AB$5)</f>
        <v>0</v>
      </c>
      <c r="V45" s="150">
        <f t="shared" ref="V45" si="39">SUMIF($S44:$S51,V$3,$R44:$R51)+SUMIFS($R44:$R51,$S44:$S51,V$3,$Q44:$Q51,$AB$5)</f>
        <v>0</v>
      </c>
      <c r="W45" s="150">
        <f t="shared" ref="W45" si="40">SUMIF($S44:$S51,W$3,$R44:$R51)+SUMIFS($R44:$R51,$S44:$S51,W$3,$Q44:$Q51,$AB$5)</f>
        <v>0</v>
      </c>
      <c r="X45" s="150">
        <f t="shared" ref="X45" si="41">SUMIF($S44:$S51,X$3,$R44:$R51)+SUMIFS($R44:$R51,$S44:$S51,X$3,$Q44:$Q51,$AB$5)</f>
        <v>0</v>
      </c>
    </row>
    <row r="46" spans="2:25" x14ac:dyDescent="0.25">
      <c r="B46" s="580"/>
      <c r="C46" s="337"/>
      <c r="D46" s="341"/>
      <c r="E46" s="341"/>
      <c r="F46" s="341"/>
      <c r="G46" s="342"/>
      <c r="I46" s="577" t="s">
        <v>417</v>
      </c>
      <c r="J46" s="577"/>
      <c r="K46" s="577"/>
      <c r="L46" s="577"/>
      <c r="N46" s="580"/>
      <c r="O46" s="337"/>
      <c r="P46" s="341"/>
      <c r="Q46" s="341"/>
      <c r="R46" s="341"/>
      <c r="S46" s="342"/>
      <c r="U46" s="577" t="s">
        <v>417</v>
      </c>
      <c r="V46" s="577"/>
      <c r="W46" s="577"/>
      <c r="X46" s="577"/>
    </row>
    <row r="47" spans="2:25" x14ac:dyDescent="0.25">
      <c r="B47" s="580"/>
      <c r="C47" s="337"/>
      <c r="D47" s="341"/>
      <c r="E47" s="341"/>
      <c r="F47" s="341"/>
      <c r="G47" s="342"/>
      <c r="I47" s="331">
        <f>I45*'ESTUDIANTES Y DOCENTES'!$AI$31</f>
        <v>0</v>
      </c>
      <c r="J47" s="331">
        <f>J45*'ESTUDIANTES Y DOCENTES'!$AI$31</f>
        <v>0</v>
      </c>
      <c r="K47" s="331">
        <f>K45*'ESTUDIANTES Y DOCENTES'!$AI$31</f>
        <v>0</v>
      </c>
      <c r="L47" s="331">
        <f>L45*'ESTUDIANTES Y DOCENTES'!$AI$31</f>
        <v>0</v>
      </c>
      <c r="N47" s="580"/>
      <c r="O47" s="337"/>
      <c r="P47" s="341"/>
      <c r="Q47" s="341"/>
      <c r="R47" s="341"/>
      <c r="S47" s="342"/>
      <c r="U47" s="331">
        <f>U45*'ESTUDIANTES Y DOCENTES'!$AQ$31</f>
        <v>0</v>
      </c>
      <c r="V47" s="331">
        <f>V45*'ESTUDIANTES Y DOCENTES'!$AQ$31</f>
        <v>0</v>
      </c>
      <c r="W47" s="331">
        <f>W45*'ESTUDIANTES Y DOCENTES'!$AQ$31</f>
        <v>0</v>
      </c>
      <c r="X47" s="331">
        <f>X45*'ESTUDIANTES Y DOCENTES'!$AQ$31</f>
        <v>0</v>
      </c>
    </row>
    <row r="48" spans="2:25" x14ac:dyDescent="0.25">
      <c r="B48" s="580"/>
      <c r="C48" s="337"/>
      <c r="D48" s="341"/>
      <c r="E48" s="341"/>
      <c r="F48" s="341"/>
      <c r="G48" s="342"/>
      <c r="I48" s="577" t="s">
        <v>418</v>
      </c>
      <c r="J48" s="577"/>
      <c r="K48" s="577"/>
      <c r="L48" s="577"/>
      <c r="N48" s="580"/>
      <c r="O48" s="337"/>
      <c r="P48" s="341"/>
      <c r="Q48" s="341"/>
      <c r="R48" s="341"/>
      <c r="S48" s="342"/>
      <c r="U48" s="577" t="s">
        <v>419</v>
      </c>
      <c r="V48" s="577"/>
      <c r="W48" s="577"/>
      <c r="X48" s="577"/>
    </row>
    <row r="49" spans="2:25" x14ac:dyDescent="0.25">
      <c r="B49" s="580"/>
      <c r="C49" s="337"/>
      <c r="D49" s="341"/>
      <c r="E49" s="341"/>
      <c r="F49" s="341"/>
      <c r="G49" s="342"/>
      <c r="I49" s="331">
        <f>I47+I41</f>
        <v>0</v>
      </c>
      <c r="J49" s="331">
        <f t="shared" ref="J49:L49" si="42">J47+J41</f>
        <v>0</v>
      </c>
      <c r="K49" s="331">
        <f t="shared" si="42"/>
        <v>0</v>
      </c>
      <c r="L49" s="331">
        <f t="shared" si="42"/>
        <v>0</v>
      </c>
      <c r="N49" s="580"/>
      <c r="O49" s="337"/>
      <c r="P49" s="341"/>
      <c r="Q49" s="341"/>
      <c r="R49" s="341"/>
      <c r="S49" s="342"/>
      <c r="U49" s="331">
        <f>U57+U47</f>
        <v>0</v>
      </c>
      <c r="V49" s="331">
        <f t="shared" ref="V49:X49" si="43">V57+V47</f>
        <v>0</v>
      </c>
      <c r="W49" s="331">
        <f t="shared" si="43"/>
        <v>0</v>
      </c>
      <c r="X49" s="331">
        <f t="shared" si="43"/>
        <v>0</v>
      </c>
    </row>
    <row r="50" spans="2:25" x14ac:dyDescent="0.25">
      <c r="B50" s="580"/>
      <c r="C50" s="337"/>
      <c r="D50" s="341"/>
      <c r="E50" s="341"/>
      <c r="F50" s="341"/>
      <c r="G50" s="342"/>
      <c r="N50" s="580"/>
      <c r="O50" s="337"/>
      <c r="P50" s="341"/>
      <c r="Q50" s="341"/>
      <c r="R50" s="341"/>
      <c r="S50" s="342"/>
    </row>
    <row r="51" spans="2:25" ht="15.75" thickBot="1" x14ac:dyDescent="0.3">
      <c r="B51" s="581"/>
      <c r="C51" s="338"/>
      <c r="D51" s="338"/>
      <c r="E51" s="338"/>
      <c r="F51" s="338"/>
      <c r="G51" s="339"/>
      <c r="I51" s="150"/>
      <c r="J51" s="150"/>
      <c r="K51" s="150"/>
      <c r="L51" s="150"/>
      <c r="N51" s="581"/>
      <c r="O51" s="338"/>
      <c r="P51" s="338"/>
      <c r="Q51" s="338"/>
      <c r="R51" s="338"/>
      <c r="S51" s="339"/>
      <c r="Y51" s="331"/>
    </row>
    <row r="52" spans="2:25" x14ac:dyDescent="0.25">
      <c r="B52" s="579">
        <v>7</v>
      </c>
      <c r="C52" s="335"/>
      <c r="D52" s="335"/>
      <c r="E52" s="335"/>
      <c r="F52" s="335"/>
      <c r="G52" s="336"/>
      <c r="I52" s="577" t="s">
        <v>416</v>
      </c>
      <c r="J52" s="577"/>
      <c r="K52" s="577"/>
      <c r="L52" s="577"/>
      <c r="N52" s="579">
        <v>7</v>
      </c>
      <c r="O52" s="335"/>
      <c r="P52" s="335"/>
      <c r="Q52" s="335"/>
      <c r="R52" s="335"/>
      <c r="S52" s="336"/>
      <c r="U52" s="577" t="s">
        <v>416</v>
      </c>
      <c r="V52" s="577"/>
      <c r="W52" s="577"/>
      <c r="X52" s="577"/>
    </row>
    <row r="53" spans="2:25" x14ac:dyDescent="0.25">
      <c r="B53" s="580"/>
      <c r="C53" s="337"/>
      <c r="D53" s="341"/>
      <c r="E53" s="341"/>
      <c r="F53" s="341"/>
      <c r="G53" s="342"/>
      <c r="I53" s="150">
        <f>SUMIF($G52:$G59,I$3,$F52:$F59)+SUMIFS($F52:$F59,$G52:$G59,I$3,$E52:$E59,$AB$5)</f>
        <v>0</v>
      </c>
      <c r="J53" s="150">
        <f t="shared" ref="J53" si="44">SUMIF($G52:$G59,J$3,$F52:$F59)+SUMIFS($F52:$F59,$G52:$G59,J$3,$E52:$E59,$AB$5)</f>
        <v>0</v>
      </c>
      <c r="K53" s="150">
        <f t="shared" ref="K53" si="45">SUMIF($G52:$G59,K$3,$F52:$F59)+SUMIFS($F52:$F59,$G52:$G59,K$3,$E52:$E59,$AB$5)</f>
        <v>0</v>
      </c>
      <c r="L53" s="150">
        <f t="shared" ref="L53" si="46">SUMIF($G52:$G59,L$3,$F52:$F59)+SUMIFS($F52:$F59,$G52:$G59,L$3,$E52:$E59,$AB$5)</f>
        <v>0</v>
      </c>
      <c r="N53" s="580"/>
      <c r="O53" s="337"/>
      <c r="P53" s="341"/>
      <c r="Q53" s="341"/>
      <c r="R53" s="341"/>
      <c r="S53" s="342"/>
      <c r="U53" s="150">
        <f>SUMIF($S52:$S59,U$3,$R52:$R59)+SUMIFS($R52:$R59,$S52:$S59,U$3,$Q52:$Q59,$AB$5)</f>
        <v>0</v>
      </c>
      <c r="V53" s="150">
        <f t="shared" ref="V53" si="47">SUMIF($S52:$S59,V$3,$R52:$R59)+SUMIFS($R52:$R59,$S52:$S59,V$3,$Q52:$Q59,$AB$5)</f>
        <v>0</v>
      </c>
      <c r="W53" s="150">
        <f t="shared" ref="W53" si="48">SUMIF($S52:$S59,W$3,$R52:$R59)+SUMIFS($R52:$R59,$S52:$S59,W$3,$Q52:$Q59,$AB$5)</f>
        <v>0</v>
      </c>
      <c r="X53" s="150">
        <f t="shared" ref="X53" si="49">SUMIF($S52:$S59,X$3,$R52:$R59)+SUMIFS($R52:$R59,$S52:$S59,X$3,$Q52:$Q59,$AB$5)</f>
        <v>0</v>
      </c>
    </row>
    <row r="54" spans="2:25" x14ac:dyDescent="0.25">
      <c r="B54" s="580"/>
      <c r="C54" s="337"/>
      <c r="D54" s="341"/>
      <c r="E54" s="341"/>
      <c r="F54" s="341"/>
      <c r="G54" s="342"/>
      <c r="I54" s="577" t="s">
        <v>417</v>
      </c>
      <c r="J54" s="577"/>
      <c r="K54" s="577"/>
      <c r="L54" s="577"/>
      <c r="N54" s="580"/>
      <c r="O54" s="337"/>
      <c r="P54" s="341"/>
      <c r="Q54" s="341"/>
      <c r="R54" s="341"/>
      <c r="S54" s="342"/>
      <c r="U54" s="577" t="s">
        <v>417</v>
      </c>
      <c r="V54" s="577"/>
      <c r="W54" s="577"/>
      <c r="X54" s="577"/>
    </row>
    <row r="55" spans="2:25" x14ac:dyDescent="0.25">
      <c r="B55" s="580"/>
      <c r="C55" s="337"/>
      <c r="D55" s="341"/>
      <c r="E55" s="341"/>
      <c r="F55" s="341"/>
      <c r="G55" s="342"/>
      <c r="I55" s="331">
        <f>I53*'ESTUDIANTES Y DOCENTES'!$AI$32</f>
        <v>0</v>
      </c>
      <c r="J55" s="331">
        <f>J53*'ESTUDIANTES Y DOCENTES'!$AI$32</f>
        <v>0</v>
      </c>
      <c r="K55" s="331">
        <f>K53*'ESTUDIANTES Y DOCENTES'!$AI$32</f>
        <v>0</v>
      </c>
      <c r="L55" s="331">
        <f>L53*'ESTUDIANTES Y DOCENTES'!$AI$32</f>
        <v>0</v>
      </c>
      <c r="N55" s="580"/>
      <c r="O55" s="337"/>
      <c r="P55" s="341"/>
      <c r="Q55" s="341"/>
      <c r="R55" s="341"/>
      <c r="S55" s="342"/>
      <c r="U55" s="331">
        <f>U53*'ESTUDIANTES Y DOCENTES'!$AQ$32</f>
        <v>0</v>
      </c>
      <c r="V55" s="331">
        <f>V53*'ESTUDIANTES Y DOCENTES'!$AQ$32</f>
        <v>0</v>
      </c>
      <c r="W55" s="331">
        <f>W53*'ESTUDIANTES Y DOCENTES'!$AQ$32</f>
        <v>0</v>
      </c>
      <c r="X55" s="331">
        <f>X53*'ESTUDIANTES Y DOCENTES'!$AQ$32</f>
        <v>0</v>
      </c>
    </row>
    <row r="56" spans="2:25" x14ac:dyDescent="0.25">
      <c r="B56" s="580"/>
      <c r="C56" s="337"/>
      <c r="D56" s="341"/>
      <c r="E56" s="341"/>
      <c r="F56" s="341"/>
      <c r="G56" s="342"/>
      <c r="I56" s="577" t="s">
        <v>418</v>
      </c>
      <c r="J56" s="577"/>
      <c r="K56" s="577"/>
      <c r="L56" s="577"/>
      <c r="N56" s="580"/>
      <c r="O56" s="337"/>
      <c r="P56" s="341"/>
      <c r="Q56" s="341"/>
      <c r="R56" s="341"/>
      <c r="S56" s="342"/>
      <c r="U56" s="577" t="s">
        <v>419</v>
      </c>
      <c r="V56" s="577"/>
      <c r="W56" s="577"/>
      <c r="X56" s="577"/>
    </row>
    <row r="57" spans="2:25" x14ac:dyDescent="0.25">
      <c r="B57" s="580"/>
      <c r="C57" s="337"/>
      <c r="D57" s="341"/>
      <c r="E57" s="341"/>
      <c r="F57" s="341"/>
      <c r="G57" s="342"/>
      <c r="I57" s="331">
        <f>I55+I49</f>
        <v>0</v>
      </c>
      <c r="J57" s="331">
        <f t="shared" ref="J57:L57" si="50">J55+J49</f>
        <v>0</v>
      </c>
      <c r="K57" s="331">
        <f t="shared" si="50"/>
        <v>0</v>
      </c>
      <c r="L57" s="331">
        <f t="shared" si="50"/>
        <v>0</v>
      </c>
      <c r="N57" s="580"/>
      <c r="O57" s="337"/>
      <c r="P57" s="341"/>
      <c r="Q57" s="341"/>
      <c r="R57" s="341"/>
      <c r="S57" s="342"/>
      <c r="U57" s="331">
        <f>U65+U55</f>
        <v>0</v>
      </c>
      <c r="V57" s="331">
        <f t="shared" ref="V57:X57" si="51">V65+V55</f>
        <v>0</v>
      </c>
      <c r="W57" s="331">
        <f t="shared" si="51"/>
        <v>0</v>
      </c>
      <c r="X57" s="331">
        <f t="shared" si="51"/>
        <v>0</v>
      </c>
    </row>
    <row r="58" spans="2:25" x14ac:dyDescent="0.25">
      <c r="B58" s="580"/>
      <c r="C58" s="337"/>
      <c r="D58" s="341"/>
      <c r="E58" s="341"/>
      <c r="F58" s="341"/>
      <c r="G58" s="342"/>
      <c r="N58" s="580"/>
      <c r="O58" s="337"/>
      <c r="P58" s="341"/>
      <c r="Q58" s="341"/>
      <c r="R58" s="341"/>
      <c r="S58" s="342"/>
    </row>
    <row r="59" spans="2:25" ht="15.75" thickBot="1" x14ac:dyDescent="0.3">
      <c r="B59" s="581"/>
      <c r="C59" s="338"/>
      <c r="D59" s="338"/>
      <c r="E59" s="338"/>
      <c r="F59" s="338"/>
      <c r="G59" s="339"/>
      <c r="I59" s="150"/>
      <c r="J59" s="150"/>
      <c r="K59" s="150"/>
      <c r="L59" s="150"/>
      <c r="N59" s="581"/>
      <c r="O59" s="338"/>
      <c r="P59" s="338"/>
      <c r="Q59" s="338"/>
      <c r="R59" s="338"/>
      <c r="S59" s="339"/>
      <c r="Y59" s="331"/>
    </row>
    <row r="60" spans="2:25" x14ac:dyDescent="0.25">
      <c r="B60" s="579">
        <v>8</v>
      </c>
      <c r="C60" s="335"/>
      <c r="D60" s="335"/>
      <c r="E60" s="335"/>
      <c r="F60" s="335"/>
      <c r="G60" s="336"/>
      <c r="I60" s="577" t="s">
        <v>416</v>
      </c>
      <c r="J60" s="577"/>
      <c r="K60" s="577"/>
      <c r="L60" s="577"/>
      <c r="N60" s="579">
        <v>8</v>
      </c>
      <c r="O60" s="335"/>
      <c r="P60" s="335"/>
      <c r="Q60" s="335"/>
      <c r="R60" s="335"/>
      <c r="S60" s="336"/>
      <c r="U60" s="577" t="s">
        <v>416</v>
      </c>
      <c r="V60" s="577"/>
      <c r="W60" s="577"/>
      <c r="X60" s="577"/>
    </row>
    <row r="61" spans="2:25" x14ac:dyDescent="0.25">
      <c r="B61" s="580"/>
      <c r="C61" s="337"/>
      <c r="D61" s="341"/>
      <c r="E61" s="341"/>
      <c r="F61" s="341"/>
      <c r="G61" s="342"/>
      <c r="I61" s="150">
        <f>SUMIF($G60:$G67,I$3,$F60:$F67)+SUMIFS($F60:$F67,$G60:$G67,I$3,$E60:$E67,$AB$5)</f>
        <v>0</v>
      </c>
      <c r="J61" s="150">
        <f t="shared" ref="J61" si="52">SUMIF($G60:$G67,J$3,$F60:$F67)+SUMIFS($F60:$F67,$G60:$G67,J$3,$E60:$E67,$AB$5)</f>
        <v>0</v>
      </c>
      <c r="K61" s="150">
        <f t="shared" ref="K61" si="53">SUMIF($G60:$G67,K$3,$F60:$F67)+SUMIFS($F60:$F67,$G60:$G67,K$3,$E60:$E67,$AB$5)</f>
        <v>0</v>
      </c>
      <c r="L61" s="150">
        <f t="shared" ref="L61" si="54">SUMIF($G60:$G67,L$3,$F60:$F67)+SUMIFS($F60:$F67,$G60:$G67,L$3,$E60:$E67,$AB$5)</f>
        <v>0</v>
      </c>
      <c r="N61" s="580"/>
      <c r="O61" s="337"/>
      <c r="P61" s="341"/>
      <c r="Q61" s="341"/>
      <c r="R61" s="341"/>
      <c r="S61" s="342"/>
      <c r="U61" s="150">
        <f>SUMIF($S60:$S67,U$3,$R60:$R67)+SUMIFS($R60:$R67,$S60:$S67,U$3,$Q60:$Q67,$AB$5)</f>
        <v>0</v>
      </c>
      <c r="V61" s="150">
        <f t="shared" ref="V61" si="55">SUMIF($S60:$S67,V$3,$R60:$R67)+SUMIFS($R60:$R67,$S60:$S67,V$3,$Q60:$Q67,$AB$5)</f>
        <v>0</v>
      </c>
      <c r="W61" s="150">
        <f t="shared" ref="W61" si="56">SUMIF($S60:$S67,W$3,$R60:$R67)+SUMIFS($R60:$R67,$S60:$S67,W$3,$Q60:$Q67,$AB$5)</f>
        <v>0</v>
      </c>
      <c r="X61" s="150">
        <f t="shared" ref="X61" si="57">SUMIF($S60:$S67,X$3,$R60:$R67)+SUMIFS($R60:$R67,$S60:$S67,X$3,$Q60:$Q67,$AB$5)</f>
        <v>0</v>
      </c>
    </row>
    <row r="62" spans="2:25" x14ac:dyDescent="0.25">
      <c r="B62" s="580"/>
      <c r="C62" s="337"/>
      <c r="D62" s="341"/>
      <c r="E62" s="341"/>
      <c r="F62" s="341"/>
      <c r="G62" s="342"/>
      <c r="I62" s="577" t="s">
        <v>417</v>
      </c>
      <c r="J62" s="577"/>
      <c r="K62" s="577"/>
      <c r="L62" s="577"/>
      <c r="N62" s="580"/>
      <c r="O62" s="337"/>
      <c r="P62" s="341"/>
      <c r="Q62" s="341"/>
      <c r="R62" s="341"/>
      <c r="S62" s="342"/>
      <c r="U62" s="577" t="s">
        <v>417</v>
      </c>
      <c r="V62" s="577"/>
      <c r="W62" s="577"/>
      <c r="X62" s="577"/>
    </row>
    <row r="63" spans="2:25" x14ac:dyDescent="0.25">
      <c r="B63" s="580"/>
      <c r="C63" s="337"/>
      <c r="D63" s="341"/>
      <c r="E63" s="341"/>
      <c r="F63" s="341"/>
      <c r="G63" s="342"/>
      <c r="I63" s="331">
        <f>I61*'ESTUDIANTES Y DOCENTES'!$AI$33</f>
        <v>0</v>
      </c>
      <c r="J63" s="331">
        <f>J61*'ESTUDIANTES Y DOCENTES'!$AI$33</f>
        <v>0</v>
      </c>
      <c r="K63" s="331">
        <f>K61*'ESTUDIANTES Y DOCENTES'!$AI$33</f>
        <v>0</v>
      </c>
      <c r="L63" s="331">
        <f>L61*'ESTUDIANTES Y DOCENTES'!$AI$33</f>
        <v>0</v>
      </c>
      <c r="N63" s="580"/>
      <c r="O63" s="337"/>
      <c r="P63" s="341"/>
      <c r="Q63" s="341"/>
      <c r="R63" s="341"/>
      <c r="S63" s="342"/>
      <c r="U63" s="331">
        <f>U61*'ESTUDIANTES Y DOCENTES'!$AQ$33</f>
        <v>0</v>
      </c>
      <c r="V63" s="331">
        <f>V61*'ESTUDIANTES Y DOCENTES'!$AQ$33</f>
        <v>0</v>
      </c>
      <c r="W63" s="331">
        <f>W61*'ESTUDIANTES Y DOCENTES'!$AQ$33</f>
        <v>0</v>
      </c>
      <c r="X63" s="331">
        <f>X61*'ESTUDIANTES Y DOCENTES'!$AQ$33</f>
        <v>0</v>
      </c>
    </row>
    <row r="64" spans="2:25" x14ac:dyDescent="0.25">
      <c r="B64" s="580"/>
      <c r="C64" s="337"/>
      <c r="D64" s="341"/>
      <c r="E64" s="341"/>
      <c r="F64" s="341"/>
      <c r="G64" s="342"/>
      <c r="I64" s="577" t="s">
        <v>418</v>
      </c>
      <c r="J64" s="577"/>
      <c r="K64" s="577"/>
      <c r="L64" s="577"/>
      <c r="N64" s="580"/>
      <c r="O64" s="337"/>
      <c r="P64" s="341"/>
      <c r="Q64" s="341"/>
      <c r="R64" s="341"/>
      <c r="S64" s="342"/>
      <c r="U64" s="577" t="s">
        <v>419</v>
      </c>
      <c r="V64" s="577"/>
      <c r="W64" s="577"/>
      <c r="X64" s="577"/>
    </row>
    <row r="65" spans="2:25" x14ac:dyDescent="0.25">
      <c r="B65" s="580"/>
      <c r="C65" s="337"/>
      <c r="D65" s="341"/>
      <c r="E65" s="341"/>
      <c r="F65" s="341"/>
      <c r="G65" s="342"/>
      <c r="I65" s="331">
        <f>I63+I57</f>
        <v>0</v>
      </c>
      <c r="J65" s="331">
        <f t="shared" ref="J65:L65" si="58">J63+J57</f>
        <v>0</v>
      </c>
      <c r="K65" s="331">
        <f t="shared" si="58"/>
        <v>0</v>
      </c>
      <c r="L65" s="331">
        <f t="shared" si="58"/>
        <v>0</v>
      </c>
      <c r="N65" s="580"/>
      <c r="O65" s="337"/>
      <c r="P65" s="341"/>
      <c r="Q65" s="341"/>
      <c r="R65" s="341"/>
      <c r="S65" s="342"/>
      <c r="U65" s="331">
        <f>U73+U63</f>
        <v>0</v>
      </c>
      <c r="V65" s="331">
        <f t="shared" ref="V65:X65" si="59">V73+V63</f>
        <v>0</v>
      </c>
      <c r="W65" s="331">
        <f t="shared" si="59"/>
        <v>0</v>
      </c>
      <c r="X65" s="331">
        <f t="shared" si="59"/>
        <v>0</v>
      </c>
    </row>
    <row r="66" spans="2:25" x14ac:dyDescent="0.25">
      <c r="B66" s="580"/>
      <c r="C66" s="337"/>
      <c r="D66" s="341"/>
      <c r="E66" s="341"/>
      <c r="F66" s="341"/>
      <c r="G66" s="342"/>
      <c r="N66" s="580"/>
      <c r="O66" s="337"/>
      <c r="P66" s="341"/>
      <c r="Q66" s="341"/>
      <c r="R66" s="341"/>
      <c r="S66" s="342"/>
    </row>
    <row r="67" spans="2:25" ht="15.75" thickBot="1" x14ac:dyDescent="0.3">
      <c r="B67" s="581"/>
      <c r="C67" s="338"/>
      <c r="D67" s="338"/>
      <c r="E67" s="338"/>
      <c r="F67" s="338"/>
      <c r="G67" s="339"/>
      <c r="I67" s="150"/>
      <c r="J67" s="150"/>
      <c r="K67" s="150"/>
      <c r="L67" s="150"/>
      <c r="N67" s="581"/>
      <c r="O67" s="338"/>
      <c r="P67" s="338"/>
      <c r="Q67" s="338"/>
      <c r="R67" s="338"/>
      <c r="S67" s="339"/>
      <c r="Y67" s="331"/>
    </row>
    <row r="68" spans="2:25" x14ac:dyDescent="0.25">
      <c r="B68" s="579">
        <v>9</v>
      </c>
      <c r="C68" s="335"/>
      <c r="D68" s="335"/>
      <c r="E68" s="335"/>
      <c r="F68" s="335"/>
      <c r="G68" s="336"/>
      <c r="I68" s="577" t="s">
        <v>416</v>
      </c>
      <c r="J68" s="577"/>
      <c r="K68" s="577"/>
      <c r="L68" s="577"/>
      <c r="N68" s="579">
        <v>9</v>
      </c>
      <c r="O68" s="335"/>
      <c r="P68" s="335"/>
      <c r="Q68" s="335"/>
      <c r="R68" s="335"/>
      <c r="S68" s="336"/>
      <c r="U68" s="577" t="s">
        <v>416</v>
      </c>
      <c r="V68" s="577"/>
      <c r="W68" s="577"/>
      <c r="X68" s="577"/>
    </row>
    <row r="69" spans="2:25" x14ac:dyDescent="0.25">
      <c r="B69" s="580"/>
      <c r="C69" s="337"/>
      <c r="D69" s="341"/>
      <c r="E69" s="341"/>
      <c r="F69" s="341"/>
      <c r="G69" s="342"/>
      <c r="I69" s="150">
        <f>SUMIF($G68:$G75,I$3,$F68:$F75)+SUMIFS($F68:$F75,$G68:$G75,I$3,$E68:$E75,$AB$5)</f>
        <v>0</v>
      </c>
      <c r="J69" s="150">
        <f t="shared" ref="J69" si="60">SUMIF($G68:$G75,J$3,$F68:$F75)+SUMIFS($F68:$F75,$G68:$G75,J$3,$E68:$E75,$AB$5)</f>
        <v>0</v>
      </c>
      <c r="K69" s="150">
        <f t="shared" ref="K69" si="61">SUMIF($G68:$G75,K$3,$F68:$F75)+SUMIFS($F68:$F75,$G68:$G75,K$3,$E68:$E75,$AB$5)</f>
        <v>0</v>
      </c>
      <c r="L69" s="150">
        <f t="shared" ref="L69" si="62">SUMIF($G68:$G75,L$3,$F68:$F75)+SUMIFS($F68:$F75,$G68:$G75,L$3,$E68:$E75,$AB$5)</f>
        <v>0</v>
      </c>
      <c r="N69" s="580"/>
      <c r="O69" s="337"/>
      <c r="P69" s="341"/>
      <c r="Q69" s="341"/>
      <c r="R69" s="341"/>
      <c r="S69" s="342"/>
      <c r="U69" s="150">
        <f>SUMIF($S68:$S75,U$3,$R68:$R75)+SUMIFS($R68:$R75,$S68:$S75,U$3,$Q68:$Q75,$AB$5)</f>
        <v>0</v>
      </c>
      <c r="V69" s="150">
        <f t="shared" ref="V69" si="63">SUMIF($S68:$S75,V$3,$R68:$R75)+SUMIFS($R68:$R75,$S68:$S75,V$3,$Q68:$Q75,$AB$5)</f>
        <v>0</v>
      </c>
      <c r="W69" s="150">
        <f t="shared" ref="W69" si="64">SUMIF($S68:$S75,W$3,$R68:$R75)+SUMIFS($R68:$R75,$S68:$S75,W$3,$Q68:$Q75,$AB$5)</f>
        <v>0</v>
      </c>
      <c r="X69" s="150">
        <f t="shared" ref="X69" si="65">SUMIF($S68:$S75,X$3,$R68:$R75)+SUMIFS($R68:$R75,$S68:$S75,X$3,$Q68:$Q75,$AB$5)</f>
        <v>0</v>
      </c>
    </row>
    <row r="70" spans="2:25" x14ac:dyDescent="0.25">
      <c r="B70" s="580"/>
      <c r="C70" s="337"/>
      <c r="D70" s="341"/>
      <c r="E70" s="341"/>
      <c r="F70" s="341"/>
      <c r="G70" s="342"/>
      <c r="I70" s="577" t="s">
        <v>417</v>
      </c>
      <c r="J70" s="577"/>
      <c r="K70" s="577"/>
      <c r="L70" s="577"/>
      <c r="N70" s="580"/>
      <c r="O70" s="337"/>
      <c r="P70" s="341"/>
      <c r="Q70" s="341"/>
      <c r="R70" s="341"/>
      <c r="S70" s="342"/>
      <c r="U70" s="577" t="s">
        <v>417</v>
      </c>
      <c r="V70" s="577"/>
      <c r="W70" s="577"/>
      <c r="X70" s="577"/>
    </row>
    <row r="71" spans="2:25" x14ac:dyDescent="0.25">
      <c r="B71" s="580"/>
      <c r="C71" s="337"/>
      <c r="D71" s="341"/>
      <c r="E71" s="341"/>
      <c r="F71" s="341"/>
      <c r="G71" s="342"/>
      <c r="I71" s="331">
        <f>I69*'ESTUDIANTES Y DOCENTES'!$AI$34</f>
        <v>0</v>
      </c>
      <c r="J71" s="331">
        <f>J69*'ESTUDIANTES Y DOCENTES'!$AI$34</f>
        <v>0</v>
      </c>
      <c r="K71" s="331">
        <f>K69*'ESTUDIANTES Y DOCENTES'!$AI$34</f>
        <v>0</v>
      </c>
      <c r="L71" s="331">
        <f>L69*'ESTUDIANTES Y DOCENTES'!$AI$34</f>
        <v>0</v>
      </c>
      <c r="N71" s="580"/>
      <c r="O71" s="337"/>
      <c r="P71" s="341"/>
      <c r="Q71" s="341"/>
      <c r="R71" s="341"/>
      <c r="S71" s="342"/>
      <c r="U71" s="331">
        <f>U69*'ESTUDIANTES Y DOCENTES'!$AQ$34</f>
        <v>0</v>
      </c>
      <c r="V71" s="331">
        <f>V69*'ESTUDIANTES Y DOCENTES'!$AQ$34</f>
        <v>0</v>
      </c>
      <c r="W71" s="331">
        <f>W69*'ESTUDIANTES Y DOCENTES'!$AQ$34</f>
        <v>0</v>
      </c>
      <c r="X71" s="331">
        <f>X69*'ESTUDIANTES Y DOCENTES'!$AQ$34</f>
        <v>0</v>
      </c>
    </row>
    <row r="72" spans="2:25" x14ac:dyDescent="0.25">
      <c r="B72" s="580"/>
      <c r="C72" s="337"/>
      <c r="D72" s="341"/>
      <c r="E72" s="341"/>
      <c r="F72" s="341"/>
      <c r="G72" s="342"/>
      <c r="I72" s="577" t="s">
        <v>418</v>
      </c>
      <c r="J72" s="577"/>
      <c r="K72" s="577"/>
      <c r="L72" s="577"/>
      <c r="N72" s="580"/>
      <c r="O72" s="337"/>
      <c r="P72" s="341"/>
      <c r="Q72" s="341"/>
      <c r="R72" s="341"/>
      <c r="S72" s="342"/>
      <c r="U72" s="577" t="s">
        <v>419</v>
      </c>
      <c r="V72" s="577"/>
      <c r="W72" s="577"/>
      <c r="X72" s="577"/>
    </row>
    <row r="73" spans="2:25" x14ac:dyDescent="0.25">
      <c r="B73" s="580"/>
      <c r="C73" s="337"/>
      <c r="D73" s="341"/>
      <c r="E73" s="341"/>
      <c r="F73" s="341"/>
      <c r="G73" s="342"/>
      <c r="I73" s="331">
        <f>I71+I65</f>
        <v>0</v>
      </c>
      <c r="J73" s="331">
        <f t="shared" ref="J73:L73" si="66">J71+J65</f>
        <v>0</v>
      </c>
      <c r="K73" s="331">
        <f t="shared" si="66"/>
        <v>0</v>
      </c>
      <c r="L73" s="331">
        <f t="shared" si="66"/>
        <v>0</v>
      </c>
      <c r="N73" s="580"/>
      <c r="O73" s="337"/>
      <c r="P73" s="341"/>
      <c r="Q73" s="341"/>
      <c r="R73" s="341"/>
      <c r="S73" s="342"/>
      <c r="U73" s="331">
        <f>U81+U71</f>
        <v>0</v>
      </c>
      <c r="V73" s="331">
        <f t="shared" ref="V73:X73" si="67">V81+V71</f>
        <v>0</v>
      </c>
      <c r="W73" s="331">
        <f t="shared" si="67"/>
        <v>0</v>
      </c>
      <c r="X73" s="331">
        <f t="shared" si="67"/>
        <v>0</v>
      </c>
    </row>
    <row r="74" spans="2:25" x14ac:dyDescent="0.25">
      <c r="B74" s="580"/>
      <c r="C74" s="337"/>
      <c r="D74" s="341"/>
      <c r="E74" s="341"/>
      <c r="F74" s="341"/>
      <c r="G74" s="342"/>
      <c r="N74" s="580"/>
      <c r="O74" s="337"/>
      <c r="P74" s="341"/>
      <c r="Q74" s="341"/>
      <c r="R74" s="341"/>
      <c r="S74" s="342"/>
    </row>
    <row r="75" spans="2:25" ht="15.75" thickBot="1" x14ac:dyDescent="0.3">
      <c r="B75" s="581"/>
      <c r="C75" s="338"/>
      <c r="D75" s="338"/>
      <c r="E75" s="338"/>
      <c r="F75" s="338"/>
      <c r="G75" s="339"/>
      <c r="I75" s="150"/>
      <c r="J75" s="150"/>
      <c r="K75" s="150"/>
      <c r="L75" s="150"/>
      <c r="N75" s="581"/>
      <c r="O75" s="338"/>
      <c r="P75" s="338"/>
      <c r="Q75" s="338"/>
      <c r="R75" s="338"/>
      <c r="S75" s="339"/>
      <c r="Y75" s="331"/>
    </row>
    <row r="76" spans="2:25" x14ac:dyDescent="0.25">
      <c r="B76" s="582">
        <v>10</v>
      </c>
      <c r="C76" s="335"/>
      <c r="D76" s="335"/>
      <c r="E76" s="335"/>
      <c r="F76" s="335"/>
      <c r="G76" s="336"/>
      <c r="I76" s="577" t="s">
        <v>416</v>
      </c>
      <c r="J76" s="577"/>
      <c r="K76" s="577"/>
      <c r="L76" s="577"/>
      <c r="N76" s="579">
        <v>10</v>
      </c>
      <c r="O76" s="335"/>
      <c r="P76" s="335"/>
      <c r="Q76" s="335"/>
      <c r="R76" s="335"/>
      <c r="S76" s="336"/>
      <c r="U76" s="577" t="s">
        <v>416</v>
      </c>
      <c r="V76" s="577"/>
      <c r="W76" s="577"/>
      <c r="X76" s="577"/>
    </row>
    <row r="77" spans="2:25" x14ac:dyDescent="0.25">
      <c r="B77" s="583"/>
      <c r="C77" s="337"/>
      <c r="D77" s="341"/>
      <c r="E77" s="341"/>
      <c r="F77" s="341"/>
      <c r="G77" s="342"/>
      <c r="I77" s="150">
        <f>SUMIF($G76:$G83,I$3,$F76:$F83)+SUMIFS($F76:$F83,$G76:$G83,I$3,$E76:$E83,$AB$5)</f>
        <v>0</v>
      </c>
      <c r="J77" s="150">
        <f t="shared" ref="J77" si="68">SUMIF($G76:$G83,J$3,$F76:$F83)+SUMIFS($F76:$F83,$G76:$G83,J$3,$E76:$E83,$AB$5)</f>
        <v>0</v>
      </c>
      <c r="K77" s="150">
        <f t="shared" ref="K77" si="69">SUMIF($G76:$G83,K$3,$F76:$F83)+SUMIFS($F76:$F83,$G76:$G83,K$3,$E76:$E83,$AB$5)</f>
        <v>0</v>
      </c>
      <c r="L77" s="150">
        <f t="shared" ref="L77" si="70">SUMIF($G76:$G83,L$3,$F76:$F83)+SUMIFS($F76:$F83,$G76:$G83,L$3,$E76:$E83,$AB$5)</f>
        <v>0</v>
      </c>
      <c r="N77" s="580"/>
      <c r="O77" s="337"/>
      <c r="P77" s="341"/>
      <c r="Q77" s="341"/>
      <c r="R77" s="341"/>
      <c r="S77" s="342"/>
      <c r="U77" s="150">
        <f>SUMIF($S76:$S83,U$3,$R76:$R83)+SUMIFS($R76:$R83,$S76:$S83,U$3,$Q76:$Q83,$AB$5)</f>
        <v>0</v>
      </c>
      <c r="V77" s="150">
        <f t="shared" ref="V77" si="71">SUMIF($S76:$S83,V$3,$R76:$R83)+SUMIFS($R76:$R83,$S76:$S83,V$3,$Q76:$Q83,$AB$5)</f>
        <v>0</v>
      </c>
      <c r="W77" s="150">
        <f t="shared" ref="W77" si="72">SUMIF($S76:$S83,W$3,$R76:$R83)+SUMIFS($R76:$R83,$S76:$S83,W$3,$Q76:$Q83,$AB$5)</f>
        <v>0</v>
      </c>
      <c r="X77" s="150">
        <f t="shared" ref="X77" si="73">SUMIF($S76:$S83,X$3,$R76:$R83)+SUMIFS($R76:$R83,$S76:$S83,X$3,$Q76:$Q83,$AB$5)</f>
        <v>0</v>
      </c>
    </row>
    <row r="78" spans="2:25" x14ac:dyDescent="0.25">
      <c r="B78" s="583"/>
      <c r="C78" s="337"/>
      <c r="D78" s="341"/>
      <c r="E78" s="341"/>
      <c r="F78" s="341"/>
      <c r="G78" s="342"/>
      <c r="I78" s="577" t="s">
        <v>417</v>
      </c>
      <c r="J78" s="577"/>
      <c r="K78" s="577"/>
      <c r="L78" s="577"/>
      <c r="N78" s="580"/>
      <c r="O78" s="337"/>
      <c r="P78" s="341"/>
      <c r="Q78" s="341"/>
      <c r="R78" s="341"/>
      <c r="S78" s="342"/>
      <c r="U78" s="577" t="s">
        <v>417</v>
      </c>
      <c r="V78" s="577"/>
      <c r="W78" s="577"/>
      <c r="X78" s="577"/>
    </row>
    <row r="79" spans="2:25" x14ac:dyDescent="0.25">
      <c r="B79" s="583"/>
      <c r="C79" s="337"/>
      <c r="D79" s="341"/>
      <c r="E79" s="341"/>
      <c r="F79" s="341"/>
      <c r="G79" s="342"/>
      <c r="I79" s="331">
        <f>I77*'ESTUDIANTES Y DOCENTES'!$AI$35</f>
        <v>0</v>
      </c>
      <c r="J79" s="331">
        <f>J77*'ESTUDIANTES Y DOCENTES'!$AI$35</f>
        <v>0</v>
      </c>
      <c r="K79" s="331">
        <f>K77*'ESTUDIANTES Y DOCENTES'!$AI$35</f>
        <v>0</v>
      </c>
      <c r="L79" s="331">
        <f>L77*'ESTUDIANTES Y DOCENTES'!$AI$35</f>
        <v>0</v>
      </c>
      <c r="N79" s="580"/>
      <c r="O79" s="337"/>
      <c r="P79" s="341"/>
      <c r="Q79" s="341"/>
      <c r="R79" s="341"/>
      <c r="S79" s="342"/>
      <c r="U79" s="331">
        <f>U77*'ESTUDIANTES Y DOCENTES'!$AQ$35</f>
        <v>0</v>
      </c>
      <c r="V79" s="331">
        <f>V77*'ESTUDIANTES Y DOCENTES'!$AQ$35</f>
        <v>0</v>
      </c>
      <c r="W79" s="331">
        <f>W77*'ESTUDIANTES Y DOCENTES'!$AQ$35</f>
        <v>0</v>
      </c>
      <c r="X79" s="331">
        <f>X77*'ESTUDIANTES Y DOCENTES'!$AQ$35</f>
        <v>0</v>
      </c>
    </row>
    <row r="80" spans="2:25" x14ac:dyDescent="0.25">
      <c r="B80" s="583"/>
      <c r="C80" s="337"/>
      <c r="D80" s="341"/>
      <c r="E80" s="341"/>
      <c r="F80" s="341"/>
      <c r="G80" s="342"/>
      <c r="I80" s="577" t="s">
        <v>418</v>
      </c>
      <c r="J80" s="577"/>
      <c r="K80" s="577"/>
      <c r="L80" s="577"/>
      <c r="N80" s="580"/>
      <c r="O80" s="337"/>
      <c r="P80" s="341"/>
      <c r="Q80" s="341"/>
      <c r="R80" s="341"/>
      <c r="S80" s="342"/>
      <c r="U80" s="577" t="s">
        <v>419</v>
      </c>
      <c r="V80" s="577"/>
      <c r="W80" s="577"/>
      <c r="X80" s="577"/>
    </row>
    <row r="81" spans="2:25" x14ac:dyDescent="0.25">
      <c r="B81" s="583"/>
      <c r="C81" s="337"/>
      <c r="D81" s="341"/>
      <c r="E81" s="341"/>
      <c r="F81" s="341"/>
      <c r="G81" s="342"/>
      <c r="I81" s="331">
        <f>I79+I73</f>
        <v>0</v>
      </c>
      <c r="J81" s="331">
        <f t="shared" ref="J81:L81" si="74">J79+J73</f>
        <v>0</v>
      </c>
      <c r="K81" s="331">
        <f t="shared" si="74"/>
        <v>0</v>
      </c>
      <c r="L81" s="331">
        <f t="shared" si="74"/>
        <v>0</v>
      </c>
      <c r="N81" s="580"/>
      <c r="O81" s="337"/>
      <c r="P81" s="341"/>
      <c r="Q81" s="341"/>
      <c r="R81" s="341"/>
      <c r="S81" s="342"/>
      <c r="U81" s="331">
        <f>U89+U79</f>
        <v>0</v>
      </c>
      <c r="V81" s="331">
        <f t="shared" ref="V81:X81" si="75">V89+V79</f>
        <v>0</v>
      </c>
      <c r="W81" s="331">
        <f t="shared" si="75"/>
        <v>0</v>
      </c>
      <c r="X81" s="331">
        <f t="shared" si="75"/>
        <v>0</v>
      </c>
    </row>
    <row r="82" spans="2:25" x14ac:dyDescent="0.25">
      <c r="B82" s="583"/>
      <c r="C82" s="337"/>
      <c r="D82" s="341"/>
      <c r="E82" s="341"/>
      <c r="F82" s="341"/>
      <c r="G82" s="342"/>
      <c r="N82" s="580"/>
      <c r="O82" s="337"/>
      <c r="P82" s="341"/>
      <c r="Q82" s="341"/>
      <c r="R82" s="341"/>
      <c r="S82" s="342"/>
    </row>
    <row r="83" spans="2:25" ht="15.75" thickBot="1" x14ac:dyDescent="0.3">
      <c r="B83" s="584"/>
      <c r="C83" s="338"/>
      <c r="D83" s="338"/>
      <c r="E83" s="338"/>
      <c r="F83" s="338"/>
      <c r="G83" s="339"/>
      <c r="I83" s="150"/>
      <c r="J83" s="150"/>
      <c r="K83" s="150"/>
      <c r="L83" s="150"/>
      <c r="N83" s="581"/>
      <c r="O83" s="338"/>
      <c r="P83" s="338"/>
      <c r="Q83" s="338"/>
      <c r="R83" s="338"/>
      <c r="S83" s="339"/>
      <c r="Y83" s="331"/>
    </row>
    <row r="84" spans="2:25" ht="15.75" thickBot="1" x14ac:dyDescent="0.3">
      <c r="B84" s="579">
        <v>11</v>
      </c>
      <c r="C84" s="335"/>
      <c r="D84" s="335"/>
      <c r="E84" s="335"/>
      <c r="F84" s="335"/>
      <c r="G84" s="336"/>
      <c r="I84" s="577" t="s">
        <v>416</v>
      </c>
      <c r="J84" s="577"/>
      <c r="K84" s="577"/>
      <c r="L84" s="577"/>
      <c r="N84" s="579">
        <v>11</v>
      </c>
      <c r="O84" s="335"/>
      <c r="P84" s="335"/>
      <c r="Q84" s="335"/>
      <c r="R84" s="335"/>
      <c r="S84" s="336"/>
      <c r="U84" s="577" t="s">
        <v>416</v>
      </c>
      <c r="V84" s="577"/>
      <c r="W84" s="577"/>
      <c r="X84" s="577"/>
    </row>
    <row r="85" spans="2:25" ht="15.75" thickBot="1" x14ac:dyDescent="0.3">
      <c r="B85" s="580"/>
      <c r="C85" s="337"/>
      <c r="D85" s="335"/>
      <c r="E85" s="335"/>
      <c r="F85" s="335"/>
      <c r="G85" s="336"/>
      <c r="I85" s="150">
        <f>SUMIF($G84:$G91,I$3,$F84:$F91)+SUMIFS($F84:$F91,$G84:$G91,I$3,$E84:$E91,$AB$5)</f>
        <v>0</v>
      </c>
      <c r="J85" s="150">
        <f t="shared" ref="J85" si="76">SUMIF($G84:$G91,J$3,$F84:$F91)+SUMIFS($F84:$F91,$G84:$G91,J$3,$E84:$E91,$AB$5)</f>
        <v>0</v>
      </c>
      <c r="K85" s="150">
        <f t="shared" ref="K85" si="77">SUMIF($G84:$G91,K$3,$F84:$F91)+SUMIFS($F84:$F91,$G84:$G91,K$3,$E84:$E91,$AB$5)</f>
        <v>0</v>
      </c>
      <c r="L85" s="150">
        <f t="shared" ref="L85" si="78">SUMIF($G84:$G91,L$3,$F84:$F91)+SUMIFS($F84:$F91,$G84:$G91,L$3,$E84:$E91,$AB$5)</f>
        <v>0</v>
      </c>
      <c r="N85" s="580"/>
      <c r="O85" s="337"/>
      <c r="P85" s="341"/>
      <c r="Q85" s="341"/>
      <c r="R85" s="341"/>
      <c r="S85" s="342"/>
      <c r="U85" s="150">
        <f>SUMIF($S84:$S91,U$3,$R84:$R91)+SUMIFS($R84:$R91,$S84:$S91,U$3,$Q84:$Q91,$AB$5)</f>
        <v>0</v>
      </c>
      <c r="V85" s="150">
        <f t="shared" ref="V85" si="79">SUMIF($S84:$S91,V$3,$R84:$R91)+SUMIFS($R84:$R91,$S84:$S91,V$3,$Q84:$Q91,$AB$5)</f>
        <v>0</v>
      </c>
      <c r="W85" s="150">
        <f t="shared" ref="W85" si="80">SUMIF($S84:$S91,W$3,$R84:$R91)+SUMIFS($R84:$R91,$S84:$S91,W$3,$Q84:$Q91,$AB$5)</f>
        <v>0</v>
      </c>
      <c r="X85" s="150">
        <f t="shared" ref="X85" si="81">SUMIF($S84:$S91,X$3,$R84:$R91)+SUMIFS($R84:$R91,$S84:$S91,X$3,$Q84:$Q91,$AB$5)</f>
        <v>0</v>
      </c>
    </row>
    <row r="86" spans="2:25" ht="15.75" thickBot="1" x14ac:dyDescent="0.3">
      <c r="B86" s="580"/>
      <c r="C86" s="337"/>
      <c r="D86" s="335"/>
      <c r="E86" s="335"/>
      <c r="F86" s="335"/>
      <c r="G86" s="336"/>
      <c r="I86" s="577" t="s">
        <v>417</v>
      </c>
      <c r="J86" s="577"/>
      <c r="K86" s="577"/>
      <c r="L86" s="577"/>
      <c r="N86" s="580"/>
      <c r="O86" s="337"/>
      <c r="P86" s="341"/>
      <c r="Q86" s="341"/>
      <c r="R86" s="341"/>
      <c r="S86" s="342"/>
      <c r="U86" s="577" t="s">
        <v>417</v>
      </c>
      <c r="V86" s="577"/>
      <c r="W86" s="577"/>
      <c r="X86" s="577"/>
    </row>
    <row r="87" spans="2:25" ht="15.75" thickBot="1" x14ac:dyDescent="0.3">
      <c r="B87" s="580"/>
      <c r="C87" s="337"/>
      <c r="D87" s="335"/>
      <c r="E87" s="335"/>
      <c r="F87" s="335"/>
      <c r="G87" s="336"/>
      <c r="I87" s="331">
        <f>I85*'ESTUDIANTES Y DOCENTES'!$AI$36</f>
        <v>0</v>
      </c>
      <c r="J87" s="331">
        <f>J85*'ESTUDIANTES Y DOCENTES'!$AI$36</f>
        <v>0</v>
      </c>
      <c r="K87" s="331">
        <f>K85*'ESTUDIANTES Y DOCENTES'!$AI$36</f>
        <v>0</v>
      </c>
      <c r="L87" s="331">
        <f>L85*'ESTUDIANTES Y DOCENTES'!$AI$36</f>
        <v>0</v>
      </c>
      <c r="N87" s="580"/>
      <c r="O87" s="337"/>
      <c r="P87" s="341"/>
      <c r="Q87" s="341"/>
      <c r="R87" s="341"/>
      <c r="S87" s="342"/>
      <c r="U87" s="331">
        <f>U85*'ESTUDIANTES Y DOCENTES'!$AQ$36</f>
        <v>0</v>
      </c>
      <c r="V87" s="331">
        <f>V85*'ESTUDIANTES Y DOCENTES'!$AQ$36</f>
        <v>0</v>
      </c>
      <c r="W87" s="331">
        <f>W85*'ESTUDIANTES Y DOCENTES'!$AQ$36</f>
        <v>0</v>
      </c>
      <c r="X87" s="331">
        <f>X85*'ESTUDIANTES Y DOCENTES'!$AQ$36</f>
        <v>0</v>
      </c>
    </row>
    <row r="88" spans="2:25" x14ac:dyDescent="0.25">
      <c r="B88" s="580"/>
      <c r="C88" s="337"/>
      <c r="D88" s="335"/>
      <c r="E88" s="335"/>
      <c r="F88" s="335"/>
      <c r="G88" s="336"/>
      <c r="I88" s="577" t="s">
        <v>418</v>
      </c>
      <c r="J88" s="577"/>
      <c r="K88" s="577"/>
      <c r="L88" s="577"/>
      <c r="N88" s="580"/>
      <c r="O88" s="337"/>
      <c r="P88" s="341"/>
      <c r="Q88" s="341"/>
      <c r="R88" s="341"/>
      <c r="S88" s="342"/>
      <c r="U88" s="577" t="s">
        <v>419</v>
      </c>
      <c r="V88" s="577"/>
      <c r="W88" s="577"/>
      <c r="X88" s="577"/>
    </row>
    <row r="89" spans="2:25" x14ac:dyDescent="0.25">
      <c r="B89" s="580"/>
      <c r="C89" s="337"/>
      <c r="D89" s="341"/>
      <c r="E89" s="341"/>
      <c r="F89" s="341"/>
      <c r="G89" s="342"/>
      <c r="I89" s="331">
        <f>I87+I81</f>
        <v>0</v>
      </c>
      <c r="J89" s="331">
        <f t="shared" ref="J89:L89" si="82">J87+J81</f>
        <v>0</v>
      </c>
      <c r="K89" s="331">
        <f t="shared" si="82"/>
        <v>0</v>
      </c>
      <c r="L89" s="331">
        <f t="shared" si="82"/>
        <v>0</v>
      </c>
      <c r="N89" s="580"/>
      <c r="O89" s="337"/>
      <c r="P89" s="341"/>
      <c r="Q89" s="341"/>
      <c r="R89" s="341"/>
      <c r="S89" s="342"/>
      <c r="U89" s="331">
        <f>U97+U87</f>
        <v>0</v>
      </c>
      <c r="V89" s="331">
        <f t="shared" ref="V89:X89" si="83">V97+V87</f>
        <v>0</v>
      </c>
      <c r="W89" s="331">
        <f t="shared" si="83"/>
        <v>0</v>
      </c>
      <c r="X89" s="331">
        <f t="shared" si="83"/>
        <v>0</v>
      </c>
    </row>
    <row r="90" spans="2:25" x14ac:dyDescent="0.25">
      <c r="B90" s="580"/>
      <c r="C90" s="337"/>
      <c r="D90" s="341"/>
      <c r="E90" s="341"/>
      <c r="F90" s="341"/>
      <c r="G90" s="342"/>
      <c r="N90" s="580"/>
      <c r="O90" s="337"/>
      <c r="P90" s="341"/>
      <c r="Q90" s="341"/>
      <c r="R90" s="341"/>
      <c r="S90" s="342"/>
    </row>
    <row r="91" spans="2:25" ht="15.75" thickBot="1" x14ac:dyDescent="0.3">
      <c r="B91" s="581"/>
      <c r="C91" s="338"/>
      <c r="D91" s="338"/>
      <c r="E91" s="338"/>
      <c r="F91" s="338"/>
      <c r="G91" s="339"/>
      <c r="I91" s="150"/>
      <c r="J91" s="150"/>
      <c r="K91" s="150"/>
      <c r="L91" s="150"/>
      <c r="N91" s="581"/>
      <c r="O91" s="338"/>
      <c r="P91" s="338"/>
      <c r="Q91" s="338"/>
      <c r="R91" s="338"/>
      <c r="S91" s="339"/>
      <c r="Y91" s="331"/>
    </row>
    <row r="92" spans="2:25" x14ac:dyDescent="0.25">
      <c r="B92" s="579">
        <v>12</v>
      </c>
      <c r="C92" s="335"/>
      <c r="D92" s="335"/>
      <c r="E92" s="335"/>
      <c r="F92" s="335"/>
      <c r="G92" s="336"/>
      <c r="I92" s="577" t="s">
        <v>416</v>
      </c>
      <c r="J92" s="577"/>
      <c r="K92" s="577"/>
      <c r="L92" s="577"/>
      <c r="N92" s="579">
        <v>12</v>
      </c>
      <c r="O92" s="335"/>
      <c r="P92" s="335"/>
      <c r="Q92" s="335"/>
      <c r="R92" s="335"/>
      <c r="S92" s="336"/>
      <c r="U92" s="577" t="s">
        <v>416</v>
      </c>
      <c r="V92" s="577"/>
      <c r="W92" s="577"/>
      <c r="X92" s="577"/>
    </row>
    <row r="93" spans="2:25" x14ac:dyDescent="0.25">
      <c r="B93" s="580"/>
      <c r="C93" s="337"/>
      <c r="D93" s="341"/>
      <c r="E93" s="341"/>
      <c r="F93" s="341"/>
      <c r="G93" s="342"/>
      <c r="I93" s="150">
        <f>SUMIF($G92:$G99,I$3,$F92:$F99)+SUMIFS($F92:$F99,$G92:$G99,I$3,$E92:$E99,$AB$5)</f>
        <v>0</v>
      </c>
      <c r="J93" s="150">
        <f t="shared" ref="J93" si="84">SUMIF($G92:$G99,J$3,$F92:$F99)+SUMIFS($F92:$F99,$G92:$G99,J$3,$E92:$E99,$AB$5)</f>
        <v>0</v>
      </c>
      <c r="K93" s="150">
        <f t="shared" ref="K93" si="85">SUMIF($G92:$G99,K$3,$F92:$F99)+SUMIFS($F92:$F99,$G92:$G99,K$3,$E92:$E99,$AB$5)</f>
        <v>0</v>
      </c>
      <c r="L93" s="150">
        <f t="shared" ref="L93" si="86">SUMIF($G92:$G99,L$3,$F92:$F99)+SUMIFS($F92:$F99,$G92:$G99,L$3,$E92:$E99,$AB$5)</f>
        <v>0</v>
      </c>
      <c r="N93" s="580"/>
      <c r="O93" s="337"/>
      <c r="P93" s="341"/>
      <c r="Q93" s="341"/>
      <c r="R93" s="341"/>
      <c r="S93" s="342"/>
      <c r="U93" s="150">
        <f>SUMIF($S92:$S99,U$3,$R92:$R99)+SUMIFS($R92:$R99,$S92:$S99,U$3,$Q92:$Q99,$AB$5)</f>
        <v>0</v>
      </c>
      <c r="V93" s="150">
        <f t="shared" ref="V93" si="87">SUMIF($S92:$S99,V$3,$R92:$R99)+SUMIFS($R92:$R99,$S92:$S99,V$3,$Q92:$Q99,$AB$5)</f>
        <v>0</v>
      </c>
      <c r="W93" s="150">
        <f t="shared" ref="W93" si="88">SUMIF($S92:$S99,W$3,$R92:$R99)+SUMIFS($R92:$R99,$S92:$S99,W$3,$Q92:$Q99,$AB$5)</f>
        <v>0</v>
      </c>
      <c r="X93" s="150">
        <f t="shared" ref="X93" si="89">SUMIF($S92:$S99,X$3,$R92:$R99)+SUMIFS($R92:$R99,$S92:$S99,X$3,$Q92:$Q99,$AB$5)</f>
        <v>0</v>
      </c>
    </row>
    <row r="94" spans="2:25" x14ac:dyDescent="0.25">
      <c r="B94" s="580"/>
      <c r="C94" s="337"/>
      <c r="D94" s="341"/>
      <c r="E94" s="341"/>
      <c r="F94" s="341"/>
      <c r="G94" s="342"/>
      <c r="I94" s="577" t="s">
        <v>417</v>
      </c>
      <c r="J94" s="577"/>
      <c r="K94" s="577"/>
      <c r="L94" s="577"/>
      <c r="N94" s="580"/>
      <c r="O94" s="337"/>
      <c r="P94" s="341"/>
      <c r="Q94" s="341"/>
      <c r="R94" s="341"/>
      <c r="S94" s="342"/>
      <c r="U94" s="577" t="s">
        <v>417</v>
      </c>
      <c r="V94" s="577"/>
      <c r="W94" s="577"/>
      <c r="X94" s="577"/>
    </row>
    <row r="95" spans="2:25" x14ac:dyDescent="0.25">
      <c r="B95" s="580"/>
      <c r="C95" s="337"/>
      <c r="D95" s="341"/>
      <c r="E95" s="341"/>
      <c r="F95" s="341"/>
      <c r="G95" s="342"/>
      <c r="I95" s="331">
        <f>I93*'ESTUDIANTES Y DOCENTES'!$AI$37</f>
        <v>0</v>
      </c>
      <c r="J95" s="331">
        <f>J93*'ESTUDIANTES Y DOCENTES'!$AI$37</f>
        <v>0</v>
      </c>
      <c r="K95" s="331">
        <f>K93*'ESTUDIANTES Y DOCENTES'!$AI$37</f>
        <v>0</v>
      </c>
      <c r="L95" s="331">
        <f>L93*'ESTUDIANTES Y DOCENTES'!$AI$37</f>
        <v>0</v>
      </c>
      <c r="N95" s="580"/>
      <c r="O95" s="337"/>
      <c r="P95" s="341"/>
      <c r="Q95" s="341"/>
      <c r="R95" s="341"/>
      <c r="S95" s="342"/>
      <c r="U95" s="331">
        <f>U93*'ESTUDIANTES Y DOCENTES'!$AQ$37</f>
        <v>0</v>
      </c>
      <c r="V95" s="331">
        <f>V93*'ESTUDIANTES Y DOCENTES'!$AQ$37</f>
        <v>0</v>
      </c>
      <c r="W95" s="331">
        <f>W93*'ESTUDIANTES Y DOCENTES'!$AQ$37</f>
        <v>0</v>
      </c>
      <c r="X95" s="331">
        <f>X93*'ESTUDIANTES Y DOCENTES'!$AQ$37</f>
        <v>0</v>
      </c>
    </row>
    <row r="96" spans="2:25" x14ac:dyDescent="0.25">
      <c r="B96" s="580"/>
      <c r="C96" s="337"/>
      <c r="D96" s="341"/>
      <c r="E96" s="341"/>
      <c r="F96" s="341"/>
      <c r="G96" s="342"/>
      <c r="I96" s="577" t="s">
        <v>418</v>
      </c>
      <c r="J96" s="577"/>
      <c r="K96" s="577"/>
      <c r="L96" s="577"/>
      <c r="N96" s="580"/>
      <c r="O96" s="337"/>
      <c r="P96" s="341"/>
      <c r="Q96" s="341"/>
      <c r="R96" s="341"/>
      <c r="S96" s="342"/>
      <c r="U96" s="577" t="s">
        <v>419</v>
      </c>
      <c r="V96" s="577"/>
      <c r="W96" s="577"/>
      <c r="X96" s="577"/>
    </row>
    <row r="97" spans="2:30" x14ac:dyDescent="0.25">
      <c r="B97" s="580"/>
      <c r="C97" s="337"/>
      <c r="D97" s="341"/>
      <c r="E97" s="341"/>
      <c r="F97" s="341"/>
      <c r="G97" s="342"/>
      <c r="I97" s="331">
        <f>I95+I89</f>
        <v>0</v>
      </c>
      <c r="J97" s="331">
        <f t="shared" ref="J97:L97" si="90">J95+J89</f>
        <v>0</v>
      </c>
      <c r="K97" s="331">
        <f t="shared" si="90"/>
        <v>0</v>
      </c>
      <c r="L97" s="331">
        <f t="shared" si="90"/>
        <v>0</v>
      </c>
      <c r="N97" s="580"/>
      <c r="O97" s="337"/>
      <c r="P97" s="341"/>
      <c r="Q97" s="341"/>
      <c r="R97" s="341"/>
      <c r="S97" s="342"/>
      <c r="U97" s="331">
        <f>U95</f>
        <v>0</v>
      </c>
      <c r="V97" s="331">
        <f t="shared" ref="V97:X97" si="91">V95</f>
        <v>0</v>
      </c>
      <c r="W97" s="331">
        <f t="shared" si="91"/>
        <v>0</v>
      </c>
      <c r="X97" s="331">
        <f t="shared" si="91"/>
        <v>0</v>
      </c>
    </row>
    <row r="98" spans="2:30" x14ac:dyDescent="0.25">
      <c r="B98" s="580"/>
      <c r="C98" s="337"/>
      <c r="D98" s="341"/>
      <c r="E98" s="341"/>
      <c r="F98" s="341"/>
      <c r="G98" s="342"/>
      <c r="N98" s="580"/>
      <c r="O98" s="337"/>
      <c r="P98" s="341"/>
      <c r="Q98" s="341"/>
      <c r="R98" s="341"/>
      <c r="S98" s="342"/>
    </row>
    <row r="99" spans="2:30" ht="15.75" thickBot="1" x14ac:dyDescent="0.3">
      <c r="B99" s="581"/>
      <c r="C99" s="338"/>
      <c r="D99" s="338"/>
      <c r="E99" s="338"/>
      <c r="F99" s="338"/>
      <c r="G99" s="339"/>
      <c r="I99" s="150"/>
      <c r="J99" s="150"/>
      <c r="K99" s="150"/>
      <c r="L99" s="150"/>
      <c r="N99" s="581"/>
      <c r="O99" s="338"/>
      <c r="P99" s="338"/>
      <c r="Q99" s="338"/>
      <c r="R99" s="338"/>
      <c r="S99" s="339"/>
      <c r="Y99" s="331"/>
    </row>
    <row r="100" spans="2:30" ht="9.75" customHeight="1" x14ac:dyDescent="0.25"/>
    <row r="101" spans="2:30" s="347" customFormat="1" x14ac:dyDescent="0.25">
      <c r="C101" s="348" t="s">
        <v>420</v>
      </c>
      <c r="D101" s="348"/>
      <c r="E101" s="348"/>
      <c r="F101" s="349">
        <f>SUM(F3:F99)</f>
        <v>0</v>
      </c>
      <c r="G101" s="348"/>
      <c r="O101" s="348" t="s">
        <v>420</v>
      </c>
      <c r="P101" s="348"/>
      <c r="Q101" s="348"/>
      <c r="R101" s="349">
        <f>SUM(R3:R99)</f>
        <v>0</v>
      </c>
      <c r="S101" s="348"/>
      <c r="AA101" s="346"/>
      <c r="AB101" s="346"/>
      <c r="AC101" s="346"/>
      <c r="AD101" s="346"/>
    </row>
  </sheetData>
  <mergeCells count="99">
    <mergeCell ref="N92:N99"/>
    <mergeCell ref="B68:B75"/>
    <mergeCell ref="B76:B83"/>
    <mergeCell ref="B84:B91"/>
    <mergeCell ref="B92:B99"/>
    <mergeCell ref="N76:N83"/>
    <mergeCell ref="N84:N91"/>
    <mergeCell ref="I68:L68"/>
    <mergeCell ref="I70:L70"/>
    <mergeCell ref="I72:L72"/>
    <mergeCell ref="I76:L76"/>
    <mergeCell ref="I78:L78"/>
    <mergeCell ref="I80:L80"/>
    <mergeCell ref="I84:L84"/>
    <mergeCell ref="I86:L86"/>
    <mergeCell ref="I88:L88"/>
    <mergeCell ref="N2:S2"/>
    <mergeCell ref="N4:N11"/>
    <mergeCell ref="N12:N19"/>
    <mergeCell ref="N20:N27"/>
    <mergeCell ref="N28:N35"/>
    <mergeCell ref="N36:N43"/>
    <mergeCell ref="N44:N51"/>
    <mergeCell ref="N52:N59"/>
    <mergeCell ref="N60:N67"/>
    <mergeCell ref="N68:N75"/>
    <mergeCell ref="B28:B35"/>
    <mergeCell ref="B36:B43"/>
    <mergeCell ref="B44:B51"/>
    <mergeCell ref="B52:B59"/>
    <mergeCell ref="B60:B67"/>
    <mergeCell ref="B2:G2"/>
    <mergeCell ref="B4:B11"/>
    <mergeCell ref="B12:B19"/>
    <mergeCell ref="B20:B27"/>
    <mergeCell ref="I4:L4"/>
    <mergeCell ref="I6:L6"/>
    <mergeCell ref="I8:L8"/>
    <mergeCell ref="I12:L12"/>
    <mergeCell ref="I14:L14"/>
    <mergeCell ref="I16:L16"/>
    <mergeCell ref="I20:L20"/>
    <mergeCell ref="I22:L22"/>
    <mergeCell ref="I24:L24"/>
    <mergeCell ref="I28:L28"/>
    <mergeCell ref="I30:L30"/>
    <mergeCell ref="I32:L32"/>
    <mergeCell ref="I36:L36"/>
    <mergeCell ref="I38:L38"/>
    <mergeCell ref="I40:L40"/>
    <mergeCell ref="I44:L44"/>
    <mergeCell ref="I46:L46"/>
    <mergeCell ref="I48:L48"/>
    <mergeCell ref="I52:L52"/>
    <mergeCell ref="I54:L54"/>
    <mergeCell ref="I56:L56"/>
    <mergeCell ref="I60:L60"/>
    <mergeCell ref="I62:L62"/>
    <mergeCell ref="I64:L64"/>
    <mergeCell ref="I92:L92"/>
    <mergeCell ref="I94:L94"/>
    <mergeCell ref="I96:L96"/>
    <mergeCell ref="U4:X4"/>
    <mergeCell ref="U6:X6"/>
    <mergeCell ref="U8:X8"/>
    <mergeCell ref="U12:X12"/>
    <mergeCell ref="U14:X14"/>
    <mergeCell ref="U16:X16"/>
    <mergeCell ref="U20:X20"/>
    <mergeCell ref="U22:X22"/>
    <mergeCell ref="U24:X24"/>
    <mergeCell ref="U28:X28"/>
    <mergeCell ref="U30:X30"/>
    <mergeCell ref="U32:X32"/>
    <mergeCell ref="U36:X36"/>
    <mergeCell ref="U56:X56"/>
    <mergeCell ref="U60:X60"/>
    <mergeCell ref="U62:X62"/>
    <mergeCell ref="U38:X38"/>
    <mergeCell ref="U40:X40"/>
    <mergeCell ref="U44:X44"/>
    <mergeCell ref="U46:X46"/>
    <mergeCell ref="U48:X48"/>
    <mergeCell ref="U92:X92"/>
    <mergeCell ref="U94:X94"/>
    <mergeCell ref="U96:X96"/>
    <mergeCell ref="C1:S1"/>
    <mergeCell ref="U78:X78"/>
    <mergeCell ref="U80:X80"/>
    <mergeCell ref="U84:X84"/>
    <mergeCell ref="U86:X86"/>
    <mergeCell ref="U88:X88"/>
    <mergeCell ref="U64:X64"/>
    <mergeCell ref="U68:X68"/>
    <mergeCell ref="U70:X70"/>
    <mergeCell ref="U72:X72"/>
    <mergeCell ref="U76:X76"/>
    <mergeCell ref="U52:X52"/>
    <mergeCell ref="U54:X54"/>
  </mergeCells>
  <conditionalFormatting sqref="B4 B12 B20 B28 B36 B44 B52 B60 B68 B76 B84 B92">
    <cfRule type="expression" dxfId="37" priority="311">
      <formula>#REF!="CG"</formula>
    </cfRule>
    <cfRule type="expression" dxfId="36" priority="310">
      <formula>#REF!="CE"</formula>
    </cfRule>
  </conditionalFormatting>
  <conditionalFormatting sqref="B4">
    <cfRule type="containsText" dxfId="35" priority="279" operator="containsText" text="0">
      <formula>NOT(ISERROR(SEARCH("0",B4)))</formula>
    </cfRule>
  </conditionalFormatting>
  <conditionalFormatting sqref="B12">
    <cfRule type="containsText" dxfId="34" priority="213" operator="containsText" text="0">
      <formula>NOT(ISERROR(SEARCH("0",B12)))</formula>
    </cfRule>
  </conditionalFormatting>
  <conditionalFormatting sqref="B20">
    <cfRule type="containsText" dxfId="33" priority="210" operator="containsText" text="0">
      <formula>NOT(ISERROR(SEARCH("0",B20)))</formula>
    </cfRule>
  </conditionalFormatting>
  <conditionalFormatting sqref="B28">
    <cfRule type="containsText" dxfId="32" priority="207" operator="containsText" text="0">
      <formula>NOT(ISERROR(SEARCH("0",B28)))</formula>
    </cfRule>
  </conditionalFormatting>
  <conditionalFormatting sqref="B36">
    <cfRule type="containsText" dxfId="31" priority="204" operator="containsText" text="0">
      <formula>NOT(ISERROR(SEARCH("0",B36)))</formula>
    </cfRule>
  </conditionalFormatting>
  <conditionalFormatting sqref="B44">
    <cfRule type="containsText" dxfId="30" priority="201" operator="containsText" text="0">
      <formula>NOT(ISERROR(SEARCH("0",B44)))</formula>
    </cfRule>
  </conditionalFormatting>
  <conditionalFormatting sqref="B52">
    <cfRule type="containsText" dxfId="29" priority="198" operator="containsText" text="0">
      <formula>NOT(ISERROR(SEARCH("0",B52)))</formula>
    </cfRule>
  </conditionalFormatting>
  <conditionalFormatting sqref="B60">
    <cfRule type="containsText" dxfId="28" priority="195" operator="containsText" text="0">
      <formula>NOT(ISERROR(SEARCH("0",B60)))</formula>
    </cfRule>
  </conditionalFormatting>
  <conditionalFormatting sqref="B68">
    <cfRule type="containsText" dxfId="27" priority="192" operator="containsText" text="0">
      <formula>NOT(ISERROR(SEARCH("0",B68)))</formula>
    </cfRule>
  </conditionalFormatting>
  <conditionalFormatting sqref="B76">
    <cfRule type="containsText" dxfId="26" priority="183" operator="containsText" text="0">
      <formula>NOT(ISERROR(SEARCH("0",B76)))</formula>
    </cfRule>
  </conditionalFormatting>
  <conditionalFormatting sqref="B84">
    <cfRule type="containsText" dxfId="25" priority="177" operator="containsText" text="0">
      <formula>NOT(ISERROR(SEARCH("0",B84)))</formula>
    </cfRule>
  </conditionalFormatting>
  <conditionalFormatting sqref="B92">
    <cfRule type="containsText" dxfId="24" priority="174" operator="containsText" text="0">
      <formula>NOT(ISERROR(SEARCH("0",B92)))</formula>
    </cfRule>
  </conditionalFormatting>
  <conditionalFormatting sqref="N4 N12 N20 N28 N36 N44 N52 N60 N68 N84 N92">
    <cfRule type="expression" dxfId="19" priority="172">
      <formula>#REF!="CE"</formula>
    </cfRule>
    <cfRule type="expression" dxfId="18" priority="173">
      <formula>#REF!="CG"</formula>
    </cfRule>
  </conditionalFormatting>
  <conditionalFormatting sqref="N4">
    <cfRule type="containsText" dxfId="17" priority="171" operator="containsText" text="0">
      <formula>NOT(ISERROR(SEARCH("0",N4)))</formula>
    </cfRule>
  </conditionalFormatting>
  <conditionalFormatting sqref="N12">
    <cfRule type="containsText" dxfId="16" priority="170" operator="containsText" text="0">
      <formula>NOT(ISERROR(SEARCH("0",N12)))</formula>
    </cfRule>
  </conditionalFormatting>
  <conditionalFormatting sqref="N20">
    <cfRule type="containsText" dxfId="15" priority="169" operator="containsText" text="0">
      <formula>NOT(ISERROR(SEARCH("0",N20)))</formula>
    </cfRule>
  </conditionalFormatting>
  <conditionalFormatting sqref="N28">
    <cfRule type="containsText" dxfId="14" priority="168" operator="containsText" text="0">
      <formula>NOT(ISERROR(SEARCH("0",N28)))</formula>
    </cfRule>
  </conditionalFormatting>
  <conditionalFormatting sqref="N36">
    <cfRule type="containsText" dxfId="13" priority="167" operator="containsText" text="0">
      <formula>NOT(ISERROR(SEARCH("0",N36)))</formula>
    </cfRule>
  </conditionalFormatting>
  <conditionalFormatting sqref="N44">
    <cfRule type="containsText" dxfId="12" priority="166" operator="containsText" text="0">
      <formula>NOT(ISERROR(SEARCH("0",N44)))</formula>
    </cfRule>
  </conditionalFormatting>
  <conditionalFormatting sqref="N52">
    <cfRule type="containsText" dxfId="11" priority="165" operator="containsText" text="0">
      <formula>NOT(ISERROR(SEARCH("0",N52)))</formula>
    </cfRule>
  </conditionalFormatting>
  <conditionalFormatting sqref="N60">
    <cfRule type="containsText" dxfId="10" priority="164" operator="containsText" text="0">
      <formula>NOT(ISERROR(SEARCH("0",N60)))</formula>
    </cfRule>
  </conditionalFormatting>
  <conditionalFormatting sqref="N68">
    <cfRule type="containsText" dxfId="9" priority="163" operator="containsText" text="0">
      <formula>NOT(ISERROR(SEARCH("0",N68)))</formula>
    </cfRule>
  </conditionalFormatting>
  <conditionalFormatting sqref="N76">
    <cfRule type="expression" dxfId="8" priority="151">
      <formula>#REF!="CG"</formula>
    </cfRule>
    <cfRule type="expression" dxfId="7" priority="150">
      <formula>#REF!="CE"</formula>
    </cfRule>
    <cfRule type="containsText" dxfId="6" priority="149" operator="containsText" text="0">
      <formula>NOT(ISERROR(SEARCH("0",N76)))</formula>
    </cfRule>
  </conditionalFormatting>
  <conditionalFormatting sqref="N84">
    <cfRule type="containsText" dxfId="5" priority="161" operator="containsText" text="0">
      <formula>NOT(ISERROR(SEARCH("0",N84)))</formula>
    </cfRule>
  </conditionalFormatting>
  <conditionalFormatting sqref="N92">
    <cfRule type="containsText" dxfId="4" priority="160" operator="containsText" text="0">
      <formula>NOT(ISERROR(SEARCH("0",N92)))</formula>
    </cfRule>
  </conditionalFormatting>
  <dataValidations count="4">
    <dataValidation type="textLength" operator="lessThan" allowBlank="1" showInputMessage="1" showErrorMessage="1" errorTitle="EL NÚMERO DE DATOS NO ES VALIDO" error="No puede ingresar más de 66 caracteres" prompt="Recuerde que no puede ingresar más de 66 caracteres" sqref="B4 B12 B20 B28 B36 B44 B52 B60 B68 B76 B84 B92 N4 N12 N20 N28 N36 N44 N52 N60 N68 N76 N84 N92" xr:uid="{00000000-0002-0000-0400-000000000000}">
      <formula1>66</formula1>
    </dataValidation>
    <dataValidation type="list" allowBlank="1" showInputMessage="1" showErrorMessage="1" sqref="P4:P99 D4:D99" xr:uid="{00000000-0002-0000-0400-000001000000}">
      <formula1>$AA$4:$AA$6</formula1>
    </dataValidation>
    <dataValidation type="list" allowBlank="1" showInputMessage="1" showErrorMessage="1" sqref="Q4:Q99 E4:E99" xr:uid="{00000000-0002-0000-0400-000002000000}">
      <formula1>$AB$4:$AB$5</formula1>
    </dataValidation>
    <dataValidation type="list" allowBlank="1" showInputMessage="1" showErrorMessage="1" sqref="S4:S99 G4:G99" xr:uid="{00000000-0002-0000-0400-000003000000}">
      <formula1>$AC$4:$AC$7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19C265B8-DC0A-4ABA-8977-B2E7FFF35CB0}">
            <xm:f>NOT(ISERROR(SEARCH($W$3,G4)))</xm:f>
            <xm:f>$W$3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" operator="containsText" id="{9674AF0D-7C91-49ED-B8F4-9DD014E040C0}">
            <xm:f>NOT(ISERROR(SEARCH($V$3,G4)))</xm:f>
            <xm:f>$V$3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02E43DA0-6386-40C8-BB22-3FC1EEC4052B}">
            <xm:f>NOT(ISERROR(SEARCH($U$3,G4)))</xm:f>
            <xm:f>$U$3</xm:f>
            <x14:dxf>
              <fill>
                <patternFill>
                  <bgColor rgb="FF00B0F0"/>
                </patternFill>
              </fill>
            </x14:dxf>
          </x14:cfRule>
          <x14:cfRule type="containsText" priority="1" operator="containsText" id="{8288BA46-D219-40DF-A123-79E8AC209878}">
            <xm:f>NOT(ISERROR(SEARCH($X$3,G4)))</xm:f>
            <xm:f>$X$3</xm:f>
            <x14:dxf>
              <fill>
                <patternFill>
                  <bgColor theme="0"/>
                </patternFill>
              </fill>
            </x14:dxf>
          </x14:cfRule>
          <xm:sqref>G4:G99</xm:sqref>
        </x14:conditionalFormatting>
        <x14:conditionalFormatting xmlns:xm="http://schemas.microsoft.com/office/excel/2006/main">
          <x14:cfRule type="containsText" priority="33" operator="containsText" id="{98D4ACFA-6C27-44CB-BB83-2C90EA06C9DC}">
            <xm:f>NOT(ISERROR(SEARCH($X$3,S4)))</xm:f>
            <xm:f>$X$3</xm:f>
            <x14:dxf>
              <fill>
                <patternFill>
                  <bgColor theme="0"/>
                </patternFill>
              </fill>
            </x14:dxf>
          </x14:cfRule>
          <x14:cfRule type="containsText" priority="34" operator="containsText" id="{FF5E02A4-7B87-4AF8-9445-C854DE37A2E9}">
            <xm:f>NOT(ISERROR(SEARCH($W$3,S4)))</xm:f>
            <xm:f>$W$3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6" operator="containsText" id="{D63CD0ED-1759-430D-B6C0-67A69B9B76DE}">
            <xm:f>NOT(ISERROR(SEARCH($U$3,S4)))</xm:f>
            <xm:f>$U$3</xm:f>
            <x14:dxf>
              <fill>
                <patternFill>
                  <bgColor rgb="FF00B0F0"/>
                </patternFill>
              </fill>
            </x14:dxf>
          </x14:cfRule>
          <x14:cfRule type="containsText" priority="35" operator="containsText" id="{D33A15F0-22C5-4964-B93F-D0AD9F1EE89F}">
            <xm:f>NOT(ISERROR(SEARCH($V$3,S4)))</xm:f>
            <xm:f>$V$3</xm:f>
            <x14:dxf>
              <fill>
                <patternFill>
                  <bgColor rgb="FFFFFF00"/>
                </patternFill>
              </fill>
            </x14:dxf>
          </x14:cfRule>
          <xm:sqref>S4:S99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zoomScale="90" zoomScaleNormal="90" workbookViewId="0">
      <selection sqref="A1:F1"/>
    </sheetView>
  </sheetViews>
  <sheetFormatPr baseColWidth="10" defaultColWidth="19.28515625" defaultRowHeight="15" x14ac:dyDescent="0.25"/>
  <cols>
    <col min="1" max="1" width="12.85546875" style="36" customWidth="1"/>
    <col min="2" max="2" width="13.7109375" style="36" customWidth="1"/>
    <col min="3" max="3" width="16.85546875" style="36" customWidth="1"/>
    <col min="4" max="6" width="17.42578125" style="36" customWidth="1"/>
    <col min="7" max="7" width="12.7109375" style="36" customWidth="1"/>
    <col min="8" max="16384" width="19.28515625" style="36"/>
  </cols>
  <sheetData>
    <row r="1" spans="1:7" ht="18.75" x14ac:dyDescent="0.3">
      <c r="A1" s="586" t="s">
        <v>268</v>
      </c>
      <c r="B1" s="586"/>
      <c r="C1" s="586"/>
      <c r="D1" s="586"/>
      <c r="E1" s="586"/>
      <c r="F1" s="586"/>
    </row>
    <row r="2" spans="1:7" ht="15.75" x14ac:dyDescent="0.25">
      <c r="A2" s="71"/>
      <c r="B2" s="71"/>
      <c r="C2" s="71"/>
      <c r="D2" s="71"/>
      <c r="E2" s="206">
        <v>0.52</v>
      </c>
      <c r="F2" s="71"/>
    </row>
    <row r="3" spans="1:7" ht="21" x14ac:dyDescent="0.35">
      <c r="A3" s="585" t="s">
        <v>273</v>
      </c>
      <c r="B3" s="585"/>
      <c r="C3" s="585"/>
      <c r="D3" s="585"/>
      <c r="E3" s="585"/>
      <c r="F3" s="585"/>
    </row>
    <row r="4" spans="1:7" ht="30" x14ac:dyDescent="0.25">
      <c r="A4" s="73" t="s">
        <v>349</v>
      </c>
      <c r="B4" s="73" t="s">
        <v>344</v>
      </c>
      <c r="C4" s="72" t="s">
        <v>345</v>
      </c>
      <c r="D4" s="72" t="s">
        <v>270</v>
      </c>
      <c r="E4" s="73" t="s">
        <v>271</v>
      </c>
      <c r="F4" s="74" t="s">
        <v>272</v>
      </c>
      <c r="G4" s="355" t="s">
        <v>428</v>
      </c>
    </row>
    <row r="5" spans="1:7" x14ac:dyDescent="0.25">
      <c r="A5" s="75" t="s">
        <v>301</v>
      </c>
      <c r="B5" s="76">
        <f>TARIFAS!D13</f>
        <v>68004.645380434784</v>
      </c>
      <c r="C5" s="76">
        <f>'ESTUDIANTES Y DOCENTES'!D43+'ESTUDIANTES Y DOCENTES'!F43</f>
        <v>0</v>
      </c>
      <c r="D5" s="79">
        <f t="shared" ref="D5:D11" si="0">B5*C5</f>
        <v>0</v>
      </c>
      <c r="E5" s="79">
        <f t="shared" ref="E5:E11" si="1">D5*$E$2</f>
        <v>0</v>
      </c>
      <c r="F5" s="80">
        <f t="shared" ref="F5:F11" si="2">D5+E5</f>
        <v>0</v>
      </c>
      <c r="G5" s="356">
        <f>ROUNDUP(C5/TARIFAS!$K$13,0)</f>
        <v>0</v>
      </c>
    </row>
    <row r="6" spans="1:7" x14ac:dyDescent="0.25">
      <c r="A6" s="77" t="s">
        <v>302</v>
      </c>
      <c r="B6" s="78">
        <f>B5*(1+CONSOLIDADO!F$78)</f>
        <v>71404.877649456525</v>
      </c>
      <c r="C6" s="78">
        <f>'ESTUDIANTES Y DOCENTES'!H43+'ESTUDIANTES Y DOCENTES'!J43</f>
        <v>0</v>
      </c>
      <c r="D6" s="81">
        <f t="shared" si="0"/>
        <v>0</v>
      </c>
      <c r="E6" s="81">
        <f t="shared" si="1"/>
        <v>0</v>
      </c>
      <c r="F6" s="82">
        <f t="shared" si="2"/>
        <v>0</v>
      </c>
      <c r="G6" s="356">
        <f>ROUNDUP(C6/TARIFAS!$K$13,0)</f>
        <v>0</v>
      </c>
    </row>
    <row r="7" spans="1:7" x14ac:dyDescent="0.25">
      <c r="A7" s="75" t="s">
        <v>303</v>
      </c>
      <c r="B7" s="76">
        <f>B6*(1+CONSOLIDADO!G$78)</f>
        <v>74975.121531929355</v>
      </c>
      <c r="C7" s="76">
        <f>'ESTUDIANTES Y DOCENTES'!L43+'ESTUDIANTES Y DOCENTES'!N43</f>
        <v>0</v>
      </c>
      <c r="D7" s="79">
        <f t="shared" si="0"/>
        <v>0</v>
      </c>
      <c r="E7" s="79">
        <f t="shared" si="1"/>
        <v>0</v>
      </c>
      <c r="F7" s="80">
        <f t="shared" si="2"/>
        <v>0</v>
      </c>
      <c r="G7" s="356">
        <f>ROUNDUP(C7/TARIFAS!$K$13,0)</f>
        <v>0</v>
      </c>
    </row>
    <row r="8" spans="1:7" x14ac:dyDescent="0.25">
      <c r="A8" s="77" t="s">
        <v>304</v>
      </c>
      <c r="B8" s="78">
        <f>B7*(1+CONSOLIDADO!H$78)</f>
        <v>78723.877608525829</v>
      </c>
      <c r="C8" s="78">
        <f>'ESTUDIANTES Y DOCENTES'!P43+'ESTUDIANTES Y DOCENTES'!R43</f>
        <v>0</v>
      </c>
      <c r="D8" s="81">
        <f t="shared" si="0"/>
        <v>0</v>
      </c>
      <c r="E8" s="81">
        <f t="shared" si="1"/>
        <v>0</v>
      </c>
      <c r="F8" s="82">
        <f t="shared" si="2"/>
        <v>0</v>
      </c>
      <c r="G8" s="356">
        <f>ROUNDUP(C8/TARIFAS!$K$13,0)</f>
        <v>0</v>
      </c>
    </row>
    <row r="9" spans="1:7" x14ac:dyDescent="0.25">
      <c r="A9" s="75" t="s">
        <v>309</v>
      </c>
      <c r="B9" s="76">
        <f>B8*(1+CONSOLIDADO!I$78)</f>
        <v>82660.071488952119</v>
      </c>
      <c r="C9" s="76">
        <f>'ESTUDIANTES Y DOCENTES'!T43+'ESTUDIANTES Y DOCENTES'!V43</f>
        <v>0</v>
      </c>
      <c r="D9" s="79">
        <f t="shared" si="0"/>
        <v>0</v>
      </c>
      <c r="E9" s="79">
        <f t="shared" si="1"/>
        <v>0</v>
      </c>
      <c r="F9" s="80">
        <f t="shared" si="2"/>
        <v>0</v>
      </c>
      <c r="G9" s="356">
        <f>ROUNDUP(C9/TARIFAS!$K$13,0)</f>
        <v>0</v>
      </c>
    </row>
    <row r="10" spans="1:7" x14ac:dyDescent="0.25">
      <c r="A10" s="77" t="s">
        <v>369</v>
      </c>
      <c r="B10" s="78">
        <f>B9*(1+CONSOLIDADO!J$78)</f>
        <v>86793.075063399723</v>
      </c>
      <c r="C10" s="78">
        <f>'ESTUDIANTES Y DOCENTES'!X43+'ESTUDIANTES Y DOCENTES'!Z43</f>
        <v>0</v>
      </c>
      <c r="D10" s="81">
        <f t="shared" si="0"/>
        <v>0</v>
      </c>
      <c r="E10" s="81">
        <f t="shared" si="1"/>
        <v>0</v>
      </c>
      <c r="F10" s="82">
        <f t="shared" si="2"/>
        <v>0</v>
      </c>
      <c r="G10" s="356">
        <f>ROUNDUP(C10/TARIFAS!$K$13,0)</f>
        <v>0</v>
      </c>
    </row>
    <row r="11" spans="1:7" x14ac:dyDescent="0.25">
      <c r="A11" s="75" t="s">
        <v>370</v>
      </c>
      <c r="B11" s="76">
        <f>B10*(1+CONSOLIDADO!K$78)</f>
        <v>91132.72881656971</v>
      </c>
      <c r="C11" s="76">
        <f>'ESTUDIANTES Y DOCENTES'!AB43+'ESTUDIANTES Y DOCENTES'!AD43</f>
        <v>0</v>
      </c>
      <c r="D11" s="79">
        <f t="shared" si="0"/>
        <v>0</v>
      </c>
      <c r="E11" s="79">
        <f t="shared" si="1"/>
        <v>0</v>
      </c>
      <c r="F11" s="80">
        <f t="shared" si="2"/>
        <v>0</v>
      </c>
      <c r="G11" s="356">
        <f>ROUNDUP(C11/TARIFAS!$K$13,0)</f>
        <v>0</v>
      </c>
    </row>
    <row r="13" spans="1:7" ht="21" x14ac:dyDescent="0.35">
      <c r="A13" s="585" t="s">
        <v>269</v>
      </c>
      <c r="B13" s="585"/>
      <c r="C13" s="585"/>
      <c r="D13" s="585"/>
      <c r="E13" s="585"/>
      <c r="F13" s="585"/>
    </row>
    <row r="14" spans="1:7" ht="30" x14ac:dyDescent="0.25">
      <c r="A14" s="73" t="s">
        <v>349</v>
      </c>
      <c r="B14" s="73" t="s">
        <v>344</v>
      </c>
      <c r="C14" s="72" t="s">
        <v>345</v>
      </c>
      <c r="D14" s="72" t="s">
        <v>270</v>
      </c>
      <c r="E14" s="73" t="s">
        <v>271</v>
      </c>
      <c r="F14" s="74" t="s">
        <v>272</v>
      </c>
      <c r="G14" s="355" t="s">
        <v>428</v>
      </c>
    </row>
    <row r="15" spans="1:7" x14ac:dyDescent="0.25">
      <c r="A15" s="75" t="s">
        <v>301</v>
      </c>
      <c r="B15" s="76">
        <f>TARIFAS!D12</f>
        <v>87921.28125</v>
      </c>
      <c r="C15" s="76">
        <f>'ESTUDIANTES Y DOCENTES'!D42+'ESTUDIANTES Y DOCENTES'!F42</f>
        <v>0</v>
      </c>
      <c r="D15" s="79">
        <f t="shared" ref="D15:D21" si="3">B15*C15</f>
        <v>0</v>
      </c>
      <c r="E15" s="79">
        <f t="shared" ref="E15:E21" si="4">D15*$E$2</f>
        <v>0</v>
      </c>
      <c r="F15" s="80">
        <f t="shared" ref="F15:F21" si="5">D15+E15</f>
        <v>0</v>
      </c>
      <c r="G15" s="356">
        <f>ROUNDUP(C15/TARIFAS!$K$12,0)</f>
        <v>0</v>
      </c>
    </row>
    <row r="16" spans="1:7" x14ac:dyDescent="0.25">
      <c r="A16" s="77" t="s">
        <v>302</v>
      </c>
      <c r="B16" s="78">
        <f>B15*(1+CONSOLIDADO!F$78)</f>
        <v>92317.345312500009</v>
      </c>
      <c r="C16" s="78">
        <f>'ESTUDIANTES Y DOCENTES'!H42+'ESTUDIANTES Y DOCENTES'!J42</f>
        <v>0</v>
      </c>
      <c r="D16" s="81">
        <f t="shared" si="3"/>
        <v>0</v>
      </c>
      <c r="E16" s="81">
        <f t="shared" si="4"/>
        <v>0</v>
      </c>
      <c r="F16" s="82">
        <f t="shared" si="5"/>
        <v>0</v>
      </c>
      <c r="G16" s="356">
        <f>ROUNDUP(C16/TARIFAS!$K$12,0)</f>
        <v>0</v>
      </c>
    </row>
    <row r="17" spans="1:7" x14ac:dyDescent="0.25">
      <c r="A17" s="75" t="s">
        <v>303</v>
      </c>
      <c r="B17" s="76">
        <f>B16*(1+CONSOLIDADO!G$78)</f>
        <v>96933.212578125007</v>
      </c>
      <c r="C17" s="76">
        <f>'ESTUDIANTES Y DOCENTES'!L42+'ESTUDIANTES Y DOCENTES'!N42</f>
        <v>0</v>
      </c>
      <c r="D17" s="79">
        <f t="shared" si="3"/>
        <v>0</v>
      </c>
      <c r="E17" s="79">
        <f t="shared" si="4"/>
        <v>0</v>
      </c>
      <c r="F17" s="80">
        <f t="shared" si="5"/>
        <v>0</v>
      </c>
      <c r="G17" s="356">
        <f>ROUNDUP(C17/TARIFAS!$K$12,0)</f>
        <v>0</v>
      </c>
    </row>
    <row r="18" spans="1:7" x14ac:dyDescent="0.25">
      <c r="A18" s="77" t="s">
        <v>304</v>
      </c>
      <c r="B18" s="78">
        <f>B17*(1+CONSOLIDADO!H$78)</f>
        <v>101779.87320703125</v>
      </c>
      <c r="C18" s="78">
        <f>'ESTUDIANTES Y DOCENTES'!P42+'ESTUDIANTES Y DOCENTES'!R42</f>
        <v>0</v>
      </c>
      <c r="D18" s="81">
        <f t="shared" si="3"/>
        <v>0</v>
      </c>
      <c r="E18" s="81">
        <f t="shared" si="4"/>
        <v>0</v>
      </c>
      <c r="F18" s="82">
        <f t="shared" si="5"/>
        <v>0</v>
      </c>
      <c r="G18" s="356">
        <f>ROUNDUP(C18/TARIFAS!$K$12,0)</f>
        <v>0</v>
      </c>
    </row>
    <row r="19" spans="1:7" x14ac:dyDescent="0.25">
      <c r="A19" s="75" t="s">
        <v>309</v>
      </c>
      <c r="B19" s="76">
        <f>B18*(1+CONSOLIDADO!I$78)</f>
        <v>106868.86686738282</v>
      </c>
      <c r="C19" s="76">
        <f>'ESTUDIANTES Y DOCENTES'!T42+'ESTUDIANTES Y DOCENTES'!V42</f>
        <v>0</v>
      </c>
      <c r="D19" s="79">
        <f t="shared" si="3"/>
        <v>0</v>
      </c>
      <c r="E19" s="79">
        <f t="shared" si="4"/>
        <v>0</v>
      </c>
      <c r="F19" s="80">
        <f t="shared" si="5"/>
        <v>0</v>
      </c>
      <c r="G19" s="356">
        <f>ROUNDUP(C19/TARIFAS!$K$12,0)</f>
        <v>0</v>
      </c>
    </row>
    <row r="20" spans="1:7" x14ac:dyDescent="0.25">
      <c r="A20" s="77" t="s">
        <v>369</v>
      </c>
      <c r="B20" s="78">
        <f>B19*(1+CONSOLIDADO!J$78)</f>
        <v>112212.31021075197</v>
      </c>
      <c r="C20" s="78">
        <f>'ESTUDIANTES Y DOCENTES'!X42+'ESTUDIANTES Y DOCENTES'!Z42</f>
        <v>0</v>
      </c>
      <c r="D20" s="81">
        <f t="shared" si="3"/>
        <v>0</v>
      </c>
      <c r="E20" s="81">
        <f t="shared" si="4"/>
        <v>0</v>
      </c>
      <c r="F20" s="82">
        <f t="shared" si="5"/>
        <v>0</v>
      </c>
      <c r="G20" s="356">
        <f>ROUNDUP(C20/TARIFAS!$K$12,0)</f>
        <v>0</v>
      </c>
    </row>
    <row r="21" spans="1:7" x14ac:dyDescent="0.25">
      <c r="A21" s="75" t="s">
        <v>370</v>
      </c>
      <c r="B21" s="76">
        <f>B20*(1+CONSOLIDADO!K$78)</f>
        <v>117822.92572128958</v>
      </c>
      <c r="C21" s="76">
        <f>'ESTUDIANTES Y DOCENTES'!AB42+'ESTUDIANTES Y DOCENTES'!AD42</f>
        <v>0</v>
      </c>
      <c r="D21" s="79">
        <f t="shared" si="3"/>
        <v>0</v>
      </c>
      <c r="E21" s="79">
        <f t="shared" si="4"/>
        <v>0</v>
      </c>
      <c r="F21" s="80">
        <f t="shared" si="5"/>
        <v>0</v>
      </c>
      <c r="G21" s="356">
        <f>ROUNDUP(C21/TARIFAS!$K$12,0)</f>
        <v>0</v>
      </c>
    </row>
    <row r="22" spans="1:7" ht="15.75" x14ac:dyDescent="0.25">
      <c r="A22" s="71"/>
      <c r="B22" s="71"/>
      <c r="C22" s="71"/>
      <c r="D22" s="71"/>
      <c r="E22" s="71"/>
      <c r="F22" s="71"/>
    </row>
    <row r="23" spans="1:7" ht="21" x14ac:dyDescent="0.35">
      <c r="A23" s="585" t="s">
        <v>274</v>
      </c>
      <c r="B23" s="585"/>
      <c r="C23" s="585"/>
      <c r="D23" s="585"/>
      <c r="E23" s="585"/>
      <c r="F23" s="585"/>
    </row>
    <row r="24" spans="1:7" ht="30" x14ac:dyDescent="0.25">
      <c r="A24" s="73" t="s">
        <v>349</v>
      </c>
      <c r="B24" s="73" t="s">
        <v>344</v>
      </c>
      <c r="C24" s="72" t="s">
        <v>345</v>
      </c>
      <c r="D24" s="72" t="s">
        <v>270</v>
      </c>
      <c r="E24" s="73" t="s">
        <v>271</v>
      </c>
      <c r="F24" s="74" t="s">
        <v>272</v>
      </c>
      <c r="G24" s="355" t="s">
        <v>428</v>
      </c>
    </row>
    <row r="25" spans="1:7" x14ac:dyDescent="0.25">
      <c r="A25" s="75" t="s">
        <v>301</v>
      </c>
      <c r="B25" s="76">
        <f>TARIFAS!D14</f>
        <v>60951.29891304348</v>
      </c>
      <c r="C25" s="76">
        <f>'ESTUDIANTES Y DOCENTES'!D44+'ESTUDIANTES Y DOCENTES'!F44</f>
        <v>0</v>
      </c>
      <c r="D25" s="79">
        <f t="shared" ref="D25:D31" si="6">B25*C25</f>
        <v>0</v>
      </c>
      <c r="E25" s="79">
        <f t="shared" ref="E25:E31" si="7">D25*$E$2</f>
        <v>0</v>
      </c>
      <c r="F25" s="80">
        <f t="shared" ref="F25:F31" si="8">D25+E25</f>
        <v>0</v>
      </c>
      <c r="G25" s="356">
        <f>ROUNDUP(C25/TARIFAS!$K$14,0)</f>
        <v>0</v>
      </c>
    </row>
    <row r="26" spans="1:7" x14ac:dyDescent="0.25">
      <c r="A26" s="77" t="s">
        <v>302</v>
      </c>
      <c r="B26" s="78">
        <f>B25*(1+CONSOLIDADO!F$78)</f>
        <v>63998.863858695659</v>
      </c>
      <c r="C26" s="78">
        <f>'ESTUDIANTES Y DOCENTES'!H44+'ESTUDIANTES Y DOCENTES'!J44</f>
        <v>0</v>
      </c>
      <c r="D26" s="81">
        <f t="shared" si="6"/>
        <v>0</v>
      </c>
      <c r="E26" s="81">
        <f t="shared" si="7"/>
        <v>0</v>
      </c>
      <c r="F26" s="82">
        <f t="shared" si="8"/>
        <v>0</v>
      </c>
      <c r="G26" s="356">
        <f>ROUNDUP(C26/TARIFAS!$K$14,0)</f>
        <v>0</v>
      </c>
    </row>
    <row r="27" spans="1:7" x14ac:dyDescent="0.25">
      <c r="A27" s="75" t="s">
        <v>303</v>
      </c>
      <c r="B27" s="76">
        <f>B26*(1+CONSOLIDADO!G$78)</f>
        <v>67198.807051630443</v>
      </c>
      <c r="C27" s="76">
        <f>'ESTUDIANTES Y DOCENTES'!L44+'ESTUDIANTES Y DOCENTES'!N44</f>
        <v>0</v>
      </c>
      <c r="D27" s="79">
        <f t="shared" si="6"/>
        <v>0</v>
      </c>
      <c r="E27" s="79">
        <f t="shared" si="7"/>
        <v>0</v>
      </c>
      <c r="F27" s="80">
        <f t="shared" si="8"/>
        <v>0</v>
      </c>
      <c r="G27" s="356">
        <f>ROUNDUP(C27/TARIFAS!$K$14,0)</f>
        <v>0</v>
      </c>
    </row>
    <row r="28" spans="1:7" x14ac:dyDescent="0.25">
      <c r="A28" s="77" t="s">
        <v>304</v>
      </c>
      <c r="B28" s="78">
        <f>B27*(1+CONSOLIDADO!H$78)</f>
        <v>70558.747404211972</v>
      </c>
      <c r="C28" s="78">
        <f>'ESTUDIANTES Y DOCENTES'!P44+'ESTUDIANTES Y DOCENTES'!R44</f>
        <v>0</v>
      </c>
      <c r="D28" s="81">
        <f t="shared" si="6"/>
        <v>0</v>
      </c>
      <c r="E28" s="81">
        <f t="shared" si="7"/>
        <v>0</v>
      </c>
      <c r="F28" s="82">
        <f t="shared" si="8"/>
        <v>0</v>
      </c>
      <c r="G28" s="356">
        <f>ROUNDUP(C28/TARIFAS!$K$14,0)</f>
        <v>0</v>
      </c>
    </row>
    <row r="29" spans="1:7" x14ac:dyDescent="0.25">
      <c r="A29" s="75" t="s">
        <v>309</v>
      </c>
      <c r="B29" s="76">
        <f>B28*(1+CONSOLIDADO!I$78)</f>
        <v>74086.684774422567</v>
      </c>
      <c r="C29" s="76">
        <f>'ESTUDIANTES Y DOCENTES'!T44+'ESTUDIANTES Y DOCENTES'!V44</f>
        <v>0</v>
      </c>
      <c r="D29" s="79">
        <f t="shared" si="6"/>
        <v>0</v>
      </c>
      <c r="E29" s="79">
        <f t="shared" si="7"/>
        <v>0</v>
      </c>
      <c r="F29" s="80">
        <f t="shared" si="8"/>
        <v>0</v>
      </c>
      <c r="G29" s="356">
        <f>ROUNDUP(C29/TARIFAS!$K$14,0)</f>
        <v>0</v>
      </c>
    </row>
    <row r="30" spans="1:7" x14ac:dyDescent="0.25">
      <c r="A30" s="77" t="s">
        <v>369</v>
      </c>
      <c r="B30" s="78">
        <f>B29*(1+CONSOLIDADO!J$78)</f>
        <v>77791.019013143698</v>
      </c>
      <c r="C30" s="78">
        <f>'ESTUDIANTES Y DOCENTES'!X44+'ESTUDIANTES Y DOCENTES'!Z44</f>
        <v>0</v>
      </c>
      <c r="D30" s="81">
        <f>B30*C30</f>
        <v>0</v>
      </c>
      <c r="E30" s="81">
        <f>D30*$E$2</f>
        <v>0</v>
      </c>
      <c r="F30" s="82">
        <f>D30+E30</f>
        <v>0</v>
      </c>
      <c r="G30" s="356">
        <f>ROUNDUP(C30/TARIFAS!$K$14,0)</f>
        <v>0</v>
      </c>
    </row>
    <row r="31" spans="1:7" x14ac:dyDescent="0.25">
      <c r="A31" s="75" t="s">
        <v>370</v>
      </c>
      <c r="B31" s="76">
        <f>B30*(1+CONSOLIDADO!K$78)</f>
        <v>81680.569963800881</v>
      </c>
      <c r="C31" s="76">
        <f>'ESTUDIANTES Y DOCENTES'!AB44+'ESTUDIANTES Y DOCENTES'!AD44</f>
        <v>0</v>
      </c>
      <c r="D31" s="79">
        <f t="shared" si="6"/>
        <v>0</v>
      </c>
      <c r="E31" s="79">
        <f t="shared" si="7"/>
        <v>0</v>
      </c>
      <c r="F31" s="80">
        <f t="shared" si="8"/>
        <v>0</v>
      </c>
      <c r="G31" s="356">
        <f>ROUNDUP(C31/TARIFAS!$K$14,0)</f>
        <v>0</v>
      </c>
    </row>
    <row r="32" spans="1:7" ht="15.75" x14ac:dyDescent="0.25">
      <c r="A32" s="71"/>
      <c r="B32" s="71"/>
      <c r="C32" s="71"/>
      <c r="D32" s="71"/>
      <c r="E32" s="71"/>
      <c r="F32" s="71"/>
    </row>
    <row r="33" spans="1:6" ht="21" x14ac:dyDescent="0.35">
      <c r="A33" s="585" t="s">
        <v>275</v>
      </c>
      <c r="B33" s="585"/>
      <c r="C33" s="585"/>
      <c r="D33" s="585"/>
      <c r="E33" s="585"/>
      <c r="F33" s="585"/>
    </row>
    <row r="34" spans="1:6" ht="24" x14ac:dyDescent="0.25">
      <c r="A34" s="73" t="s">
        <v>349</v>
      </c>
      <c r="B34" s="73" t="s">
        <v>344</v>
      </c>
      <c r="C34" s="72" t="s">
        <v>345</v>
      </c>
      <c r="D34" s="72" t="s">
        <v>270</v>
      </c>
      <c r="E34" s="73" t="s">
        <v>271</v>
      </c>
      <c r="F34" s="74" t="s">
        <v>272</v>
      </c>
    </row>
    <row r="35" spans="1:6" x14ac:dyDescent="0.25">
      <c r="A35" s="75" t="s">
        <v>301</v>
      </c>
      <c r="B35" s="76"/>
      <c r="C35" s="76"/>
      <c r="D35" s="79">
        <f t="shared" ref="D35:D40" si="9">B35*C35</f>
        <v>0</v>
      </c>
      <c r="E35" s="79">
        <f t="shared" ref="E35:E40" si="10">D35*$E$2</f>
        <v>0</v>
      </c>
      <c r="F35" s="80">
        <f t="shared" ref="F35:F40" si="11">D35+E35</f>
        <v>0</v>
      </c>
    </row>
    <row r="36" spans="1:6" x14ac:dyDescent="0.25">
      <c r="A36" s="77" t="s">
        <v>302</v>
      </c>
      <c r="B36" s="78"/>
      <c r="C36" s="78"/>
      <c r="D36" s="81">
        <f t="shared" si="9"/>
        <v>0</v>
      </c>
      <c r="E36" s="81">
        <f t="shared" si="10"/>
        <v>0</v>
      </c>
      <c r="F36" s="82">
        <f t="shared" si="11"/>
        <v>0</v>
      </c>
    </row>
    <row r="37" spans="1:6" x14ac:dyDescent="0.25">
      <c r="A37" s="75" t="s">
        <v>303</v>
      </c>
      <c r="B37" s="76"/>
      <c r="C37" s="76"/>
      <c r="D37" s="79">
        <f t="shared" si="9"/>
        <v>0</v>
      </c>
      <c r="E37" s="79">
        <f t="shared" si="10"/>
        <v>0</v>
      </c>
      <c r="F37" s="80">
        <f t="shared" si="11"/>
        <v>0</v>
      </c>
    </row>
    <row r="38" spans="1:6" x14ac:dyDescent="0.25">
      <c r="A38" s="77" t="s">
        <v>304</v>
      </c>
      <c r="B38" s="78"/>
      <c r="C38" s="78"/>
      <c r="D38" s="81">
        <f t="shared" si="9"/>
        <v>0</v>
      </c>
      <c r="E38" s="81">
        <f t="shared" si="10"/>
        <v>0</v>
      </c>
      <c r="F38" s="82">
        <f t="shared" si="11"/>
        <v>0</v>
      </c>
    </row>
    <row r="39" spans="1:6" x14ac:dyDescent="0.25">
      <c r="A39" s="75" t="s">
        <v>309</v>
      </c>
      <c r="B39" s="76"/>
      <c r="C39" s="76"/>
      <c r="D39" s="79">
        <f t="shared" si="9"/>
        <v>0</v>
      </c>
      <c r="E39" s="79">
        <f t="shared" si="10"/>
        <v>0</v>
      </c>
      <c r="F39" s="80">
        <f t="shared" si="11"/>
        <v>0</v>
      </c>
    </row>
    <row r="40" spans="1:6" x14ac:dyDescent="0.25">
      <c r="A40" s="77" t="s">
        <v>369</v>
      </c>
      <c r="B40" s="78"/>
      <c r="C40" s="78"/>
      <c r="D40" s="81">
        <f t="shared" si="9"/>
        <v>0</v>
      </c>
      <c r="E40" s="81">
        <f t="shared" si="10"/>
        <v>0</v>
      </c>
      <c r="F40" s="82">
        <f t="shared" si="11"/>
        <v>0</v>
      </c>
    </row>
    <row r="41" spans="1:6" x14ac:dyDescent="0.25">
      <c r="A41" s="75" t="s">
        <v>370</v>
      </c>
      <c r="B41" s="76"/>
      <c r="C41" s="76"/>
      <c r="D41" s="79">
        <f>B41*C41</f>
        <v>0</v>
      </c>
      <c r="E41" s="79">
        <f>D41*$E$2</f>
        <v>0</v>
      </c>
      <c r="F41" s="80">
        <f>D41+E41</f>
        <v>0</v>
      </c>
    </row>
  </sheetData>
  <sheetProtection insertRows="0" deleteRows="0"/>
  <mergeCells count="5">
    <mergeCell ref="A33:F33"/>
    <mergeCell ref="A1:F1"/>
    <mergeCell ref="A3:F3"/>
    <mergeCell ref="A13:F13"/>
    <mergeCell ref="A23:F23"/>
  </mergeCells>
  <phoneticPr fontId="21" type="noConversion"/>
  <printOptions horizontalCentered="1"/>
  <pageMargins left="0.31496062992125984" right="0.31496062992125984" top="0.55118110236220474" bottom="0.55118110236220474" header="0.31496062992125984" footer="0.31496062992125984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:A9"/>
    </sheetView>
  </sheetViews>
  <sheetFormatPr baseColWidth="10" defaultRowHeight="15" x14ac:dyDescent="0.25"/>
  <cols>
    <col min="1" max="1" width="21.28515625" customWidth="1"/>
    <col min="2" max="2" width="20.85546875" customWidth="1"/>
    <col min="3" max="3" width="18.7109375" customWidth="1"/>
    <col min="4" max="4" width="26.28515625" customWidth="1"/>
    <col min="12" max="12" width="18.5703125" customWidth="1"/>
    <col min="13" max="13" width="19.7109375" customWidth="1"/>
    <col min="14" max="14" width="15.5703125" customWidth="1"/>
  </cols>
  <sheetData>
    <row r="1" spans="1:14" ht="9" customHeight="1" x14ac:dyDescent="0.25">
      <c r="A1" s="601"/>
    </row>
    <row r="2" spans="1:14" ht="27.75" customHeight="1" x14ac:dyDescent="0.25">
      <c r="A2" s="601"/>
      <c r="B2" s="600" t="str">
        <f>CONCATENATE("PLAN DE ADQUISICIÓN, CONSTRUCCIÓN O PRÉSTAMO DE INFRAESTRUCTURA FÍSICA Y TECNOLÓGICA EN EL PROGRAMA DE ", CONSOLIDADO!C10)</f>
        <v xml:space="preserve">PLAN DE ADQUISICIÓN, CONSTRUCCIÓN O PRÉSTAMO DE INFRAESTRUCTURA FÍSICA Y TECNOLÓGICA EN EL PROGRAMA DE 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8" customHeight="1" x14ac:dyDescent="0.25">
      <c r="A3" s="601"/>
      <c r="B3" s="600" t="str">
        <f>CONCATENATE("Años ",E7," - ",K7)</f>
        <v>Años 2027 - 2033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4" spans="1:14" x14ac:dyDescent="0.25">
      <c r="A4" s="364" t="s">
        <v>435</v>
      </c>
      <c r="B4" s="367"/>
    </row>
    <row r="5" spans="1:14" ht="9" customHeight="1" x14ac:dyDescent="0.25"/>
    <row r="6" spans="1:14" ht="18.75" customHeight="1" x14ac:dyDescent="0.25">
      <c r="A6" s="605" t="s">
        <v>442</v>
      </c>
      <c r="B6" s="597" t="s">
        <v>436</v>
      </c>
      <c r="C6" s="597" t="s">
        <v>437</v>
      </c>
      <c r="D6" s="597" t="s">
        <v>438</v>
      </c>
      <c r="E6" s="602" t="s">
        <v>451</v>
      </c>
      <c r="F6" s="603"/>
      <c r="G6" s="603"/>
      <c r="H6" s="603"/>
      <c r="I6" s="603"/>
      <c r="J6" s="603"/>
      <c r="K6" s="604"/>
      <c r="L6" s="597" t="s">
        <v>439</v>
      </c>
      <c r="M6" s="595" t="s">
        <v>450</v>
      </c>
      <c r="N6" s="597" t="s">
        <v>440</v>
      </c>
    </row>
    <row r="7" spans="1:14" ht="17.25" customHeight="1" x14ac:dyDescent="0.25">
      <c r="A7" s="605"/>
      <c r="B7" s="598"/>
      <c r="C7" s="598"/>
      <c r="D7" s="598"/>
      <c r="E7" s="369">
        <f>CONSOLIDADO!E15</f>
        <v>2027</v>
      </c>
      <c r="F7" s="369">
        <f>CONSOLIDADO!F15</f>
        <v>2028</v>
      </c>
      <c r="G7" s="369">
        <f>CONSOLIDADO!G15</f>
        <v>2029</v>
      </c>
      <c r="H7" s="369">
        <f>CONSOLIDADO!H15</f>
        <v>2030</v>
      </c>
      <c r="I7" s="369">
        <f>CONSOLIDADO!I15</f>
        <v>2031</v>
      </c>
      <c r="J7" s="369">
        <f>CONSOLIDADO!J15</f>
        <v>2032</v>
      </c>
      <c r="K7" s="369">
        <f>CONSOLIDADO!K15</f>
        <v>2033</v>
      </c>
      <c r="L7" s="598"/>
      <c r="M7" s="596"/>
      <c r="N7" s="598"/>
    </row>
    <row r="8" spans="1:14" ht="18" customHeight="1" x14ac:dyDescent="0.25">
      <c r="A8" s="599" t="s">
        <v>443</v>
      </c>
      <c r="B8" s="361"/>
      <c r="C8" s="361"/>
      <c r="D8" s="361"/>
      <c r="E8" s="363"/>
      <c r="F8" s="363"/>
      <c r="G8" s="363"/>
      <c r="H8" s="363"/>
      <c r="I8" s="363"/>
      <c r="J8" s="363"/>
      <c r="K8" s="363"/>
      <c r="L8" s="361"/>
      <c r="M8" s="361"/>
      <c r="N8" s="361"/>
    </row>
    <row r="9" spans="1:14" ht="18" customHeight="1" x14ac:dyDescent="0.25">
      <c r="A9" s="599"/>
      <c r="B9" s="361"/>
      <c r="C9" s="361"/>
      <c r="D9" s="361"/>
      <c r="E9" s="363"/>
      <c r="F9" s="363"/>
      <c r="G9" s="363"/>
      <c r="H9" s="363"/>
      <c r="I9" s="363"/>
      <c r="J9" s="363"/>
      <c r="K9" s="363"/>
      <c r="L9" s="361"/>
      <c r="M9" s="361"/>
      <c r="N9" s="361"/>
    </row>
    <row r="10" spans="1:14" ht="18" customHeight="1" x14ac:dyDescent="0.25">
      <c r="A10" s="599" t="s">
        <v>444</v>
      </c>
      <c r="B10" s="361"/>
      <c r="C10" s="361"/>
      <c r="D10" s="361"/>
      <c r="E10" s="363"/>
      <c r="F10" s="363"/>
      <c r="G10" s="363"/>
      <c r="H10" s="363"/>
      <c r="I10" s="363"/>
      <c r="J10" s="363"/>
      <c r="K10" s="363"/>
      <c r="L10" s="361"/>
      <c r="M10" s="361"/>
      <c r="N10" s="361"/>
    </row>
    <row r="11" spans="1:14" ht="18" customHeight="1" x14ac:dyDescent="0.25">
      <c r="A11" s="599"/>
      <c r="B11" s="361"/>
      <c r="C11" s="361"/>
      <c r="D11" s="361"/>
      <c r="E11" s="363"/>
      <c r="F11" s="363"/>
      <c r="G11" s="363"/>
      <c r="H11" s="363"/>
      <c r="I11" s="363"/>
      <c r="J11" s="363"/>
      <c r="K11" s="363"/>
      <c r="L11" s="361"/>
      <c r="M11" s="361"/>
      <c r="N11" s="361"/>
    </row>
    <row r="12" spans="1:14" ht="18" customHeight="1" x14ac:dyDescent="0.25">
      <c r="A12" s="599" t="s">
        <v>445</v>
      </c>
      <c r="B12" s="361"/>
      <c r="C12" s="361"/>
      <c r="D12" s="361"/>
      <c r="E12" s="363"/>
      <c r="F12" s="363"/>
      <c r="G12" s="363"/>
      <c r="H12" s="363"/>
      <c r="I12" s="363"/>
      <c r="J12" s="363"/>
      <c r="K12" s="363"/>
      <c r="L12" s="361"/>
      <c r="M12" s="361"/>
      <c r="N12" s="361"/>
    </row>
    <row r="13" spans="1:14" ht="18" customHeight="1" x14ac:dyDescent="0.25">
      <c r="A13" s="599"/>
      <c r="B13" s="361"/>
      <c r="C13" s="361"/>
      <c r="D13" s="361"/>
      <c r="E13" s="363"/>
      <c r="F13" s="363"/>
      <c r="G13" s="363"/>
      <c r="H13" s="363"/>
      <c r="I13" s="363"/>
      <c r="J13" s="363"/>
      <c r="K13" s="363"/>
      <c r="L13" s="361"/>
      <c r="M13" s="361"/>
      <c r="N13" s="361"/>
    </row>
    <row r="14" spans="1:14" ht="18" customHeight="1" x14ac:dyDescent="0.25">
      <c r="A14" s="593" t="s">
        <v>446</v>
      </c>
      <c r="B14" s="361"/>
      <c r="C14" s="361"/>
      <c r="D14" s="361"/>
      <c r="E14" s="363"/>
      <c r="F14" s="363"/>
      <c r="G14" s="363"/>
      <c r="H14" s="363"/>
      <c r="I14" s="363"/>
      <c r="J14" s="363"/>
      <c r="K14" s="363"/>
      <c r="L14" s="361"/>
      <c r="M14" s="361"/>
      <c r="N14" s="361"/>
    </row>
    <row r="15" spans="1:14" ht="18" customHeight="1" x14ac:dyDescent="0.25">
      <c r="A15" s="594"/>
      <c r="B15" s="361"/>
      <c r="C15" s="361"/>
      <c r="D15" s="361"/>
      <c r="E15" s="363"/>
      <c r="F15" s="363"/>
      <c r="G15" s="363"/>
      <c r="H15" s="363"/>
      <c r="I15" s="363"/>
      <c r="J15" s="363"/>
      <c r="K15" s="363"/>
      <c r="L15" s="361"/>
      <c r="M15" s="361"/>
      <c r="N15" s="361"/>
    </row>
    <row r="16" spans="1:14" ht="18" customHeight="1" x14ac:dyDescent="0.25">
      <c r="A16" s="599" t="s">
        <v>447</v>
      </c>
      <c r="B16" s="361"/>
      <c r="C16" s="361"/>
      <c r="D16" s="361"/>
      <c r="E16" s="363"/>
      <c r="F16" s="363"/>
      <c r="G16" s="363"/>
      <c r="H16" s="363"/>
      <c r="I16" s="363"/>
      <c r="J16" s="363"/>
      <c r="K16" s="363"/>
      <c r="L16" s="361"/>
      <c r="M16" s="361"/>
      <c r="N16" s="361"/>
    </row>
    <row r="17" spans="1:14" ht="18" customHeight="1" x14ac:dyDescent="0.25">
      <c r="A17" s="599"/>
      <c r="B17" s="361"/>
      <c r="C17" s="361"/>
      <c r="D17" s="361"/>
      <c r="E17" s="363"/>
      <c r="F17" s="363"/>
      <c r="G17" s="363"/>
      <c r="H17" s="363"/>
      <c r="I17" s="363"/>
      <c r="J17" s="363"/>
      <c r="K17" s="363"/>
      <c r="L17" s="361"/>
      <c r="M17" s="361"/>
      <c r="N17" s="361"/>
    </row>
    <row r="18" spans="1:14" ht="18" customHeight="1" x14ac:dyDescent="0.25">
      <c r="A18" s="599" t="s">
        <v>448</v>
      </c>
      <c r="B18" s="361"/>
      <c r="C18" s="361"/>
      <c r="D18" s="361"/>
      <c r="E18" s="363"/>
      <c r="F18" s="363"/>
      <c r="G18" s="363"/>
      <c r="H18" s="363"/>
      <c r="I18" s="363"/>
      <c r="J18" s="363"/>
      <c r="K18" s="363"/>
      <c r="L18" s="361"/>
      <c r="M18" s="361"/>
      <c r="N18" s="361"/>
    </row>
    <row r="19" spans="1:14" ht="18" customHeight="1" x14ac:dyDescent="0.25">
      <c r="A19" s="599"/>
      <c r="B19" s="361"/>
      <c r="C19" s="361"/>
      <c r="D19" s="361"/>
      <c r="E19" s="363"/>
      <c r="F19" s="363"/>
      <c r="G19" s="363"/>
      <c r="H19" s="363"/>
      <c r="I19" s="363"/>
      <c r="J19" s="363"/>
      <c r="K19" s="363"/>
      <c r="L19" s="361"/>
      <c r="M19" s="361"/>
      <c r="N19" s="361"/>
    </row>
    <row r="20" spans="1:14" ht="18" customHeight="1" x14ac:dyDescent="0.25">
      <c r="A20" s="599" t="s">
        <v>449</v>
      </c>
      <c r="B20" s="361"/>
      <c r="C20" s="361"/>
      <c r="D20" s="361"/>
      <c r="E20" s="363"/>
      <c r="F20" s="363"/>
      <c r="G20" s="363"/>
      <c r="H20" s="363"/>
      <c r="I20" s="363"/>
      <c r="J20" s="363"/>
      <c r="K20" s="363"/>
      <c r="L20" s="361"/>
      <c r="M20" s="361"/>
      <c r="N20" s="361"/>
    </row>
    <row r="21" spans="1:14" ht="18" customHeight="1" x14ac:dyDescent="0.25">
      <c r="A21" s="599"/>
      <c r="B21" s="361"/>
      <c r="C21" s="361"/>
      <c r="D21" s="361"/>
      <c r="E21" s="363"/>
      <c r="F21" s="363"/>
      <c r="G21" s="363"/>
      <c r="H21" s="363"/>
      <c r="I21" s="363"/>
      <c r="J21" s="363"/>
      <c r="K21" s="363"/>
      <c r="L21" s="361"/>
      <c r="M21" s="361"/>
      <c r="N21" s="361"/>
    </row>
    <row r="22" spans="1:14" ht="18" customHeight="1" x14ac:dyDescent="0.25">
      <c r="A22" s="366"/>
      <c r="B22" s="361"/>
      <c r="C22" s="361"/>
      <c r="D22" s="361"/>
      <c r="E22" s="363"/>
      <c r="F22" s="363"/>
      <c r="G22" s="363"/>
      <c r="H22" s="363"/>
      <c r="I22" s="363"/>
      <c r="J22" s="363"/>
      <c r="K22" s="363"/>
      <c r="L22" s="361"/>
      <c r="M22" s="361"/>
      <c r="N22" s="361"/>
    </row>
    <row r="23" spans="1:14" ht="32.25" customHeight="1" x14ac:dyDescent="0.25">
      <c r="A23" s="590" t="s">
        <v>441</v>
      </c>
      <c r="B23" s="591"/>
      <c r="C23" s="591"/>
      <c r="D23" s="592"/>
      <c r="E23" s="365">
        <f>SUM(E8:E22)</f>
        <v>0</v>
      </c>
      <c r="F23" s="365">
        <f t="shared" ref="F23:K23" si="0">SUM(F8:F22)</f>
        <v>0</v>
      </c>
      <c r="G23" s="365">
        <f t="shared" si="0"/>
        <v>0</v>
      </c>
      <c r="H23" s="365">
        <f t="shared" si="0"/>
        <v>0</v>
      </c>
      <c r="I23" s="365">
        <f t="shared" si="0"/>
        <v>0</v>
      </c>
      <c r="J23" s="365">
        <f t="shared" si="0"/>
        <v>0</v>
      </c>
      <c r="K23" s="365">
        <f t="shared" si="0"/>
        <v>0</v>
      </c>
      <c r="L23" s="587"/>
      <c r="M23" s="588"/>
      <c r="N23" s="589"/>
    </row>
    <row r="26" spans="1:14" x14ac:dyDescent="0.25">
      <c r="C26" s="362"/>
    </row>
  </sheetData>
  <mergeCells count="20">
    <mergeCell ref="B2:N2"/>
    <mergeCell ref="B3:N3"/>
    <mergeCell ref="A1:A3"/>
    <mergeCell ref="E6:K6"/>
    <mergeCell ref="A6:A7"/>
    <mergeCell ref="C6:C7"/>
    <mergeCell ref="D6:D7"/>
    <mergeCell ref="L6:L7"/>
    <mergeCell ref="L23:N23"/>
    <mergeCell ref="A23:D23"/>
    <mergeCell ref="A14:A15"/>
    <mergeCell ref="M6:M7"/>
    <mergeCell ref="N6:N7"/>
    <mergeCell ref="B6:B7"/>
    <mergeCell ref="A8:A9"/>
    <mergeCell ref="A10:A11"/>
    <mergeCell ref="A12:A13"/>
    <mergeCell ref="A16:A17"/>
    <mergeCell ref="A18:A19"/>
    <mergeCell ref="A20:A2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zoomScale="80" zoomScaleNormal="80" workbookViewId="0">
      <selection activeCell="B4" sqref="B4"/>
    </sheetView>
  </sheetViews>
  <sheetFormatPr baseColWidth="10" defaultRowHeight="15" x14ac:dyDescent="0.25"/>
  <cols>
    <col min="1" max="1" width="21.140625" customWidth="1"/>
    <col min="2" max="2" width="21.5703125" customWidth="1"/>
    <col min="3" max="3" width="18.42578125" customWidth="1"/>
    <col min="4" max="4" width="32.7109375" customWidth="1"/>
    <col min="12" max="12" width="15.42578125" customWidth="1"/>
    <col min="13" max="13" width="19.7109375" customWidth="1"/>
  </cols>
  <sheetData>
    <row r="1" spans="1:14" ht="9" customHeight="1" x14ac:dyDescent="0.25">
      <c r="A1" s="606"/>
    </row>
    <row r="2" spans="1:14" ht="30.75" customHeight="1" x14ac:dyDescent="0.25">
      <c r="A2" s="606"/>
      <c r="B2" s="600" t="str">
        <f>CONCATENATE("PLAN DE ADQUISICIÓN, CONSTRUCCIÓN O PRÉSTAMO DE MEDIOS EDUCATIVOS EN EL PROGRAMA DE ", CONSOLIDADO!C10)</f>
        <v xml:space="preserve">PLAN DE ADQUISICIÓN, CONSTRUCCIÓN O PRÉSTAMO DE MEDIOS EDUCATIVOS EN EL PROGRAMA DE 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 x14ac:dyDescent="0.25">
      <c r="A3" s="606"/>
      <c r="B3" s="600" t="str">
        <f>CONCATENATE("Años ",E7," - ",K7)</f>
        <v>Años 2027 - 2033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4" spans="1:14" x14ac:dyDescent="0.25">
      <c r="A4" s="364" t="s">
        <v>435</v>
      </c>
      <c r="B4" s="374">
        <f>'Adquisición Infraestructura'!B4</f>
        <v>0</v>
      </c>
    </row>
    <row r="5" spans="1:14" ht="9" customHeight="1" x14ac:dyDescent="0.25"/>
    <row r="6" spans="1:14" ht="18.75" customHeight="1" x14ac:dyDescent="0.25">
      <c r="A6" s="597" t="s">
        <v>442</v>
      </c>
      <c r="B6" s="597" t="s">
        <v>436</v>
      </c>
      <c r="C6" s="597" t="s">
        <v>437</v>
      </c>
      <c r="D6" s="597" t="s">
        <v>438</v>
      </c>
      <c r="E6" s="602" t="s">
        <v>451</v>
      </c>
      <c r="F6" s="603"/>
      <c r="G6" s="603"/>
      <c r="H6" s="603"/>
      <c r="I6" s="603"/>
      <c r="J6" s="603"/>
      <c r="K6" s="604"/>
      <c r="L6" s="597" t="s">
        <v>439</v>
      </c>
      <c r="M6" s="595" t="s">
        <v>450</v>
      </c>
      <c r="N6" s="597" t="s">
        <v>440</v>
      </c>
    </row>
    <row r="7" spans="1:14" ht="18.75" customHeight="1" x14ac:dyDescent="0.25">
      <c r="A7" s="598"/>
      <c r="B7" s="598"/>
      <c r="C7" s="598"/>
      <c r="D7" s="598"/>
      <c r="E7" s="369">
        <f>CONSOLIDADO!E15</f>
        <v>2027</v>
      </c>
      <c r="F7" s="369">
        <f>CONSOLIDADO!F15</f>
        <v>2028</v>
      </c>
      <c r="G7" s="369">
        <f>CONSOLIDADO!G15</f>
        <v>2029</v>
      </c>
      <c r="H7" s="369">
        <f>CONSOLIDADO!H15</f>
        <v>2030</v>
      </c>
      <c r="I7" s="369">
        <f>CONSOLIDADO!I15</f>
        <v>2031</v>
      </c>
      <c r="J7" s="369">
        <f>CONSOLIDADO!J15</f>
        <v>2032</v>
      </c>
      <c r="K7" s="369">
        <f>CONSOLIDADO!K15</f>
        <v>2033</v>
      </c>
      <c r="L7" s="598"/>
      <c r="M7" s="596"/>
      <c r="N7" s="598"/>
    </row>
    <row r="8" spans="1:14" ht="18.75" customHeight="1" x14ac:dyDescent="0.25">
      <c r="A8" s="599" t="s">
        <v>453</v>
      </c>
      <c r="B8" s="361"/>
      <c r="C8" s="361"/>
      <c r="D8" s="361"/>
      <c r="E8" s="363"/>
      <c r="F8" s="363"/>
      <c r="G8" s="363"/>
      <c r="H8" s="363"/>
      <c r="I8" s="363"/>
      <c r="J8" s="363"/>
      <c r="K8" s="363"/>
      <c r="L8" s="361"/>
      <c r="M8" s="361"/>
      <c r="N8" s="361"/>
    </row>
    <row r="9" spans="1:14" ht="18.75" customHeight="1" x14ac:dyDescent="0.25">
      <c r="A9" s="599"/>
      <c r="B9" s="361"/>
      <c r="C9" s="361"/>
      <c r="D9" s="361"/>
      <c r="E9" s="363"/>
      <c r="F9" s="363"/>
      <c r="G9" s="363"/>
      <c r="H9" s="363"/>
      <c r="I9" s="363"/>
      <c r="J9" s="363"/>
      <c r="K9" s="363"/>
      <c r="L9" s="361"/>
      <c r="M9" s="361"/>
      <c r="N9" s="361"/>
    </row>
    <row r="10" spans="1:14" ht="18.75" customHeight="1" x14ac:dyDescent="0.25">
      <c r="A10" s="599" t="s">
        <v>448</v>
      </c>
      <c r="B10" s="361"/>
      <c r="C10" s="361"/>
      <c r="D10" s="361"/>
      <c r="E10" s="363"/>
      <c r="F10" s="363"/>
      <c r="G10" s="363"/>
      <c r="H10" s="363"/>
      <c r="I10" s="363"/>
      <c r="J10" s="363"/>
      <c r="K10" s="363"/>
      <c r="L10" s="361"/>
      <c r="M10" s="361"/>
      <c r="N10" s="361"/>
    </row>
    <row r="11" spans="1:14" ht="18.75" customHeight="1" x14ac:dyDescent="0.25">
      <c r="A11" s="599"/>
      <c r="B11" s="361"/>
      <c r="C11" s="361"/>
      <c r="D11" s="361"/>
      <c r="E11" s="363"/>
      <c r="F11" s="363"/>
      <c r="G11" s="363"/>
      <c r="H11" s="363"/>
      <c r="I11" s="363"/>
      <c r="J11" s="363"/>
      <c r="K11" s="363"/>
      <c r="L11" s="361"/>
      <c r="M11" s="361"/>
      <c r="N11" s="361"/>
    </row>
    <row r="12" spans="1:14" ht="18.75" customHeight="1" x14ac:dyDescent="0.25">
      <c r="A12" s="599" t="s">
        <v>454</v>
      </c>
      <c r="B12" s="361"/>
      <c r="C12" s="361"/>
      <c r="D12" s="361"/>
      <c r="E12" s="363"/>
      <c r="F12" s="363"/>
      <c r="G12" s="363"/>
      <c r="H12" s="363"/>
      <c r="I12" s="363"/>
      <c r="J12" s="363"/>
      <c r="K12" s="363"/>
      <c r="L12" s="361"/>
      <c r="M12" s="361"/>
      <c r="N12" s="361"/>
    </row>
    <row r="13" spans="1:14" ht="18.75" customHeight="1" x14ac:dyDescent="0.25">
      <c r="A13" s="599"/>
      <c r="B13" s="361"/>
      <c r="C13" s="361"/>
      <c r="D13" s="361"/>
      <c r="E13" s="363"/>
      <c r="F13" s="363"/>
      <c r="G13" s="363"/>
      <c r="H13" s="363"/>
      <c r="I13" s="363"/>
      <c r="J13" s="363"/>
      <c r="K13" s="363"/>
      <c r="L13" s="361"/>
      <c r="M13" s="361"/>
      <c r="N13" s="361"/>
    </row>
    <row r="14" spans="1:14" ht="18.75" customHeight="1" x14ac:dyDescent="0.25">
      <c r="A14" s="599" t="s">
        <v>449</v>
      </c>
      <c r="B14" s="361"/>
      <c r="C14" s="361"/>
      <c r="D14" s="361"/>
      <c r="E14" s="363"/>
      <c r="F14" s="363"/>
      <c r="G14" s="363"/>
      <c r="H14" s="363"/>
      <c r="I14" s="363"/>
      <c r="J14" s="363"/>
      <c r="K14" s="363"/>
      <c r="L14" s="361"/>
      <c r="M14" s="361"/>
      <c r="N14" s="361"/>
    </row>
    <row r="15" spans="1:14" ht="18.75" customHeight="1" x14ac:dyDescent="0.25">
      <c r="A15" s="599"/>
      <c r="B15" s="361"/>
      <c r="C15" s="361"/>
      <c r="D15" s="361"/>
      <c r="E15" s="363"/>
      <c r="F15" s="363"/>
      <c r="G15" s="363"/>
      <c r="H15" s="363"/>
      <c r="I15" s="363"/>
      <c r="J15" s="363"/>
      <c r="K15" s="363"/>
      <c r="L15" s="361"/>
      <c r="M15" s="361"/>
      <c r="N15" s="361"/>
    </row>
    <row r="16" spans="1:14" ht="18.75" customHeight="1" x14ac:dyDescent="0.25">
      <c r="A16" s="368"/>
      <c r="B16" s="361"/>
      <c r="C16" s="361"/>
      <c r="D16" s="361"/>
      <c r="E16" s="363"/>
      <c r="F16" s="363"/>
      <c r="G16" s="363"/>
      <c r="H16" s="363"/>
      <c r="I16" s="363"/>
      <c r="J16" s="363"/>
      <c r="K16" s="363"/>
      <c r="L16" s="361"/>
      <c r="M16" s="361"/>
      <c r="N16" s="361"/>
    </row>
    <row r="17" spans="1:14" ht="25.5" customHeight="1" x14ac:dyDescent="0.25">
      <c r="A17" s="590" t="s">
        <v>452</v>
      </c>
      <c r="B17" s="591"/>
      <c r="C17" s="591"/>
      <c r="D17" s="592"/>
      <c r="E17" s="365">
        <f t="shared" ref="E17:K17" si="0">SUM(E8:E16)</f>
        <v>0</v>
      </c>
      <c r="F17" s="365">
        <f t="shared" si="0"/>
        <v>0</v>
      </c>
      <c r="G17" s="365">
        <f t="shared" si="0"/>
        <v>0</v>
      </c>
      <c r="H17" s="365">
        <f t="shared" si="0"/>
        <v>0</v>
      </c>
      <c r="I17" s="365">
        <f t="shared" si="0"/>
        <v>0</v>
      </c>
      <c r="J17" s="365">
        <f t="shared" si="0"/>
        <v>0</v>
      </c>
      <c r="K17" s="365">
        <f t="shared" si="0"/>
        <v>0</v>
      </c>
      <c r="L17" s="587"/>
      <c r="M17" s="588"/>
      <c r="N17" s="589"/>
    </row>
  </sheetData>
  <mergeCells count="17">
    <mergeCell ref="L17:N17"/>
    <mergeCell ref="A17:D17"/>
    <mergeCell ref="A6:A7"/>
    <mergeCell ref="B6:B7"/>
    <mergeCell ref="C6:C7"/>
    <mergeCell ref="D6:D7"/>
    <mergeCell ref="E6:K6"/>
    <mergeCell ref="L6:L7"/>
    <mergeCell ref="M6:M7"/>
    <mergeCell ref="N6:N7"/>
    <mergeCell ref="A12:A13"/>
    <mergeCell ref="A14:A15"/>
    <mergeCell ref="B2:N2"/>
    <mergeCell ref="B3:N3"/>
    <mergeCell ref="A1:A3"/>
    <mergeCell ref="A8:A9"/>
    <mergeCell ref="A10:A11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6"/>
  <sheetViews>
    <sheetView zoomScale="90" zoomScaleNormal="90" workbookViewId="0">
      <selection activeCell="A21" sqref="A21"/>
    </sheetView>
  </sheetViews>
  <sheetFormatPr baseColWidth="10" defaultRowHeight="14.25" outlineLevelCol="1" x14ac:dyDescent="0.2"/>
  <cols>
    <col min="1" max="1" width="50.85546875" style="83" customWidth="1"/>
    <col min="2" max="2" width="22" style="83" customWidth="1"/>
    <col min="3" max="3" width="7.42578125" style="83" customWidth="1"/>
    <col min="4" max="4" width="22.85546875" style="83" customWidth="1"/>
    <col min="5" max="5" width="6.5703125" style="83" customWidth="1"/>
    <col min="6" max="6" width="7.5703125" style="83" hidden="1" customWidth="1" outlineLevel="1"/>
    <col min="7" max="8" width="9.140625" style="83" hidden="1" customWidth="1" outlineLevel="1"/>
    <col min="9" max="9" width="6.7109375" style="83" hidden="1" customWidth="1" outlineLevel="1"/>
    <col min="10" max="10" width="7.5703125" style="83" hidden="1" customWidth="1" outlineLevel="1"/>
    <col min="11" max="12" width="9.140625" style="83" hidden="1" customWidth="1" outlineLevel="1"/>
    <col min="13" max="13" width="4.85546875" style="83" hidden="1" customWidth="1" outlineLevel="1"/>
    <col min="14" max="14" width="13.28515625" style="83" hidden="1" customWidth="1" outlineLevel="1"/>
    <col min="15" max="15" width="4.140625" style="83" customWidth="1" collapsed="1"/>
    <col min="16" max="18" width="11.42578125" style="83"/>
    <col min="19" max="19" width="19.140625" style="83" bestFit="1" customWidth="1"/>
    <col min="20" max="16384" width="11.42578125" style="83"/>
  </cols>
  <sheetData>
    <row r="1" spans="1:19" ht="20.25" x14ac:dyDescent="0.3">
      <c r="A1" s="608" t="s">
        <v>461</v>
      </c>
      <c r="B1" s="608"/>
    </row>
    <row r="2" spans="1:19" ht="14.25" customHeight="1" x14ac:dyDescent="0.3">
      <c r="A2" s="84"/>
      <c r="B2" s="84"/>
    </row>
    <row r="3" spans="1:19" ht="30.75" x14ac:dyDescent="0.2">
      <c r="A3" s="85" t="s">
        <v>291</v>
      </c>
      <c r="B3" s="85" t="s">
        <v>331</v>
      </c>
      <c r="D3" s="85" t="s">
        <v>332</v>
      </c>
    </row>
    <row r="4" spans="1:19" ht="20.25" x14ac:dyDescent="0.3">
      <c r="A4" s="88" t="s">
        <v>292</v>
      </c>
      <c r="B4" s="408">
        <v>51779</v>
      </c>
      <c r="D4" s="89">
        <f>B4*(1.52)</f>
        <v>78704.08</v>
      </c>
      <c r="S4" s="376"/>
    </row>
    <row r="5" spans="1:19" ht="20.25" x14ac:dyDescent="0.3">
      <c r="A5" s="86" t="s">
        <v>293</v>
      </c>
      <c r="B5" s="408">
        <v>36056</v>
      </c>
      <c r="D5" s="87">
        <f>B5*(1.52)</f>
        <v>54805.120000000003</v>
      </c>
      <c r="S5" s="376"/>
    </row>
    <row r="6" spans="1:19" ht="20.25" x14ac:dyDescent="0.3">
      <c r="A6" s="86" t="s">
        <v>294</v>
      </c>
      <c r="B6" s="408">
        <v>47285</v>
      </c>
      <c r="D6" s="87">
        <f>B6*(1.52)</f>
        <v>71873.2</v>
      </c>
      <c r="S6" s="376"/>
    </row>
    <row r="7" spans="1:19" ht="20.25" x14ac:dyDescent="0.3">
      <c r="A7" s="88" t="s">
        <v>295</v>
      </c>
      <c r="B7" s="408">
        <v>37859</v>
      </c>
      <c r="D7" s="89">
        <f>B7*(1.52)</f>
        <v>57545.68</v>
      </c>
      <c r="S7" s="376"/>
    </row>
    <row r="8" spans="1:19" ht="14.25" customHeight="1" x14ac:dyDescent="0.3">
      <c r="A8" s="84"/>
      <c r="B8" s="84"/>
    </row>
    <row r="9" spans="1:19" ht="14.25" customHeight="1" x14ac:dyDescent="0.3">
      <c r="A9" s="84"/>
      <c r="B9" s="84"/>
      <c r="J9" s="200">
        <v>46</v>
      </c>
      <c r="K9" s="83" t="s">
        <v>346</v>
      </c>
    </row>
    <row r="10" spans="1:19" ht="26.25" customHeight="1" x14ac:dyDescent="0.2">
      <c r="A10" s="610" t="s">
        <v>296</v>
      </c>
      <c r="B10" s="610"/>
      <c r="D10" s="609" t="s">
        <v>331</v>
      </c>
      <c r="F10" s="607" t="s">
        <v>347</v>
      </c>
      <c r="G10" s="607"/>
      <c r="H10" s="607"/>
      <c r="I10" s="201"/>
      <c r="J10" s="607" t="s">
        <v>348</v>
      </c>
      <c r="K10" s="607"/>
      <c r="L10" s="607"/>
      <c r="N10" s="607" t="s">
        <v>350</v>
      </c>
    </row>
    <row r="11" spans="1:19" ht="40.5" customHeight="1" x14ac:dyDescent="0.2">
      <c r="A11" s="610"/>
      <c r="B11" s="610"/>
      <c r="D11" s="609"/>
      <c r="F11" s="201" t="s">
        <v>164</v>
      </c>
      <c r="G11" s="201" t="s">
        <v>351</v>
      </c>
      <c r="H11" s="201" t="s">
        <v>352</v>
      </c>
      <c r="I11" s="201"/>
      <c r="J11" s="201" t="s">
        <v>164</v>
      </c>
      <c r="K11" s="201" t="s">
        <v>351</v>
      </c>
      <c r="L11" s="201" t="s">
        <v>352</v>
      </c>
      <c r="N11" s="607"/>
    </row>
    <row r="12" spans="1:19" ht="20.25" x14ac:dyDescent="0.3">
      <c r="A12" s="88" t="s">
        <v>297</v>
      </c>
      <c r="B12" s="408">
        <v>5882733</v>
      </c>
      <c r="D12" s="90">
        <f>B12*11/L12</f>
        <v>87921.28125</v>
      </c>
      <c r="F12" s="202">
        <v>40</v>
      </c>
      <c r="G12" s="202">
        <v>21</v>
      </c>
      <c r="H12" s="202">
        <v>16</v>
      </c>
      <c r="I12" s="202"/>
      <c r="J12" s="202">
        <f t="shared" ref="J12:L15" si="0">+F12*$J$9</f>
        <v>1840</v>
      </c>
      <c r="K12" s="202">
        <f t="shared" si="0"/>
        <v>966</v>
      </c>
      <c r="L12" s="202">
        <f t="shared" si="0"/>
        <v>736</v>
      </c>
      <c r="N12" s="208">
        <f>(J12-L12)/L12</f>
        <v>1.5</v>
      </c>
      <c r="S12" s="375"/>
    </row>
    <row r="13" spans="1:19" ht="20.25" x14ac:dyDescent="0.3">
      <c r="A13" s="86" t="s">
        <v>298</v>
      </c>
      <c r="B13" s="408">
        <v>4550129</v>
      </c>
      <c r="D13" s="90">
        <f>B13*11/L13</f>
        <v>68004.645380434784</v>
      </c>
      <c r="F13" s="202">
        <v>30</v>
      </c>
      <c r="G13" s="202">
        <v>21</v>
      </c>
      <c r="H13" s="202">
        <v>16</v>
      </c>
      <c r="I13" s="202"/>
      <c r="J13" s="202">
        <f t="shared" si="0"/>
        <v>1380</v>
      </c>
      <c r="K13" s="202">
        <f t="shared" si="0"/>
        <v>966</v>
      </c>
      <c r="L13" s="202">
        <f t="shared" si="0"/>
        <v>736</v>
      </c>
      <c r="N13" s="208">
        <f>(J13-L13)/L13</f>
        <v>0.875</v>
      </c>
      <c r="S13" s="376"/>
    </row>
    <row r="14" spans="1:19" ht="20.25" x14ac:dyDescent="0.3">
      <c r="A14" s="88" t="s">
        <v>299</v>
      </c>
      <c r="B14" s="408">
        <v>3058647</v>
      </c>
      <c r="D14" s="90">
        <f>B14*11/L14</f>
        <v>60951.29891304348</v>
      </c>
      <c r="F14" s="202">
        <v>20</v>
      </c>
      <c r="G14" s="202">
        <v>15</v>
      </c>
      <c r="H14" s="202">
        <v>12</v>
      </c>
      <c r="I14" s="202"/>
      <c r="J14" s="202">
        <f t="shared" si="0"/>
        <v>920</v>
      </c>
      <c r="K14" s="202">
        <f t="shared" si="0"/>
        <v>690</v>
      </c>
      <c r="L14" s="202">
        <f t="shared" si="0"/>
        <v>552</v>
      </c>
      <c r="N14" s="208">
        <f>(J14-L14)/L14</f>
        <v>0.66666666666666663</v>
      </c>
      <c r="S14" s="376"/>
    </row>
    <row r="15" spans="1:19" ht="20.25" x14ac:dyDescent="0.3">
      <c r="A15" s="86" t="s">
        <v>300</v>
      </c>
      <c r="B15" s="408">
        <v>3058647</v>
      </c>
      <c r="D15" s="90">
        <f>B15*11/L15</f>
        <v>60951.29891304348</v>
      </c>
      <c r="F15" s="202">
        <v>20</v>
      </c>
      <c r="G15" s="202">
        <v>15</v>
      </c>
      <c r="H15" s="202">
        <v>12</v>
      </c>
      <c r="I15" s="202"/>
      <c r="J15" s="202">
        <f t="shared" si="0"/>
        <v>920</v>
      </c>
      <c r="K15" s="202">
        <f t="shared" si="0"/>
        <v>690</v>
      </c>
      <c r="L15" s="202">
        <f t="shared" si="0"/>
        <v>552</v>
      </c>
      <c r="N15" s="208">
        <f>(J15-L15)/L15</f>
        <v>0.66666666666666663</v>
      </c>
      <c r="S15" s="376"/>
    </row>
    <row r="17" spans="2:2" x14ac:dyDescent="0.2">
      <c r="B17" s="406"/>
    </row>
    <row r="18" spans="2:2" x14ac:dyDescent="0.2">
      <c r="B18" s="406"/>
    </row>
    <row r="19" spans="2:2" x14ac:dyDescent="0.2">
      <c r="B19" s="406"/>
    </row>
    <row r="24" spans="2:2" x14ac:dyDescent="0.2">
      <c r="B24" s="406"/>
    </row>
    <row r="26" spans="2:2" x14ac:dyDescent="0.2">
      <c r="B26" s="407"/>
    </row>
  </sheetData>
  <mergeCells count="6">
    <mergeCell ref="N10:N11"/>
    <mergeCell ref="A1:B1"/>
    <mergeCell ref="F10:H10"/>
    <mergeCell ref="J10:L10"/>
    <mergeCell ref="D10:D11"/>
    <mergeCell ref="A10:B1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CONSOLIDADO</vt:lpstr>
      <vt:lpstr>INGRESOS</vt:lpstr>
      <vt:lpstr>COSTOS Y GASTOS</vt:lpstr>
      <vt:lpstr>ESTUDIANTES Y DOCENTES</vt:lpstr>
      <vt:lpstr>Malla</vt:lpstr>
      <vt:lpstr>DOCENTE CONTRATO ESPECIAL</vt:lpstr>
      <vt:lpstr>Adquisición Infraestructura</vt:lpstr>
      <vt:lpstr>Adquisición Medios</vt:lpstr>
      <vt:lpstr>TARIFAS</vt:lpstr>
      <vt:lpstr>CONSOLIDADO!Área_de_impresión</vt:lpstr>
      <vt:lpstr>'COSTOS Y GASTOS'!Área_de_impresión</vt:lpstr>
      <vt:lpstr>'DOCENTE CONTRATO ESPECIAL'!Área_de_impresión</vt:lpstr>
      <vt:lpstr>'ESTUDIANTES Y DOCENTES'!Área_de_impresión</vt:lpstr>
      <vt:lpstr>INGRESOS!Área_de_impresión</vt:lpstr>
      <vt:lpstr>DOCENTE</vt:lpstr>
      <vt:lpstr>FORMACION</vt:lpstr>
      <vt:lpstr>FORMAL_Y_NO_FORMAL</vt:lpstr>
      <vt:lpstr>CONSOLIDADO!Títulos_a_imprimir</vt:lpstr>
      <vt:lpstr>'COSTOS Y GASTOS'!Títulos_a_imprimir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Andres Benavidez Lopez</dc:creator>
  <cp:lastModifiedBy>Enmanuel Ramirez Berney</cp:lastModifiedBy>
  <cp:lastPrinted>2019-07-25T22:59:44Z</cp:lastPrinted>
  <dcterms:created xsi:type="dcterms:W3CDTF">2016-07-28T19:26:20Z</dcterms:created>
  <dcterms:modified xsi:type="dcterms:W3CDTF">2026-05-05T14:10:55Z</dcterms:modified>
</cp:coreProperties>
</file>