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nalista1conta\Downloads\"/>
    </mc:Choice>
  </mc:AlternateContent>
  <xr:revisionPtr revIDLastSave="0" documentId="13_ncr:1_{9C51AEED-8EA2-47E2-9DC1-CEA9BEEBA556}" xr6:coauthVersionLast="47" xr6:coauthVersionMax="47" xr10:uidLastSave="{00000000-0000-0000-0000-000000000000}"/>
  <bookViews>
    <workbookView xWindow="-120" yWindow="-120" windowWidth="21840" windowHeight="13020" tabRatio="874" xr2:uid="{00000000-000D-0000-FFFF-FFFF00000000}"/>
  </bookViews>
  <sheets>
    <sheet name="CONSOLIDADO" sheetId="1" r:id="rId1"/>
    <sheet name="INGRESOS" sheetId="2" r:id="rId2"/>
    <sheet name="COSTOS Y GASTOS" sheetId="7" r:id="rId3"/>
    <sheet name="ESTUDIANTES Y DOCENTES" sheetId="13" r:id="rId4"/>
    <sheet name="Malla" sheetId="14" r:id="rId5"/>
    <sheet name="DOCENTE CONTRATO ESPECIAL" sheetId="9" r:id="rId6"/>
    <sheet name="Adquisición Infraestructura" sheetId="15" r:id="rId7"/>
    <sheet name="Adquisición Medios" sheetId="16" r:id="rId8"/>
    <sheet name="TARIFAS" sheetId="12" r:id="rId9"/>
  </sheets>
  <definedNames>
    <definedName name="_xlnm.Print_Area" localSheetId="0">CONSOLIDADO!$B$1:$J$195</definedName>
    <definedName name="_xlnm.Print_Area" localSheetId="2">'COSTOS Y GASTOS'!$A$6:$H$230</definedName>
    <definedName name="_xlnm.Print_Area" localSheetId="5">'DOCENTE CONTRATO ESPECIAL'!$B$6:$G$45</definedName>
    <definedName name="_xlnm.Print_Area" localSheetId="3">'ESTUDIANTES Y DOCENTES'!$A$7:$AL$59</definedName>
    <definedName name="_xlnm.Print_Area" localSheetId="1">INGRESOS!$A$6:$J$96</definedName>
    <definedName name="DOCENTE">'DOCENTE CONTRATO ESPECIAL'!$B$24:$B$26</definedName>
    <definedName name="FORMACION">INGRESOS!$A$104:$A$110</definedName>
    <definedName name="FORMAL_Y_NO_FORMAL">INGRESOS!$C$104:$C$111</definedName>
    <definedName name="_xlnm.Print_Titles" localSheetId="0">CONSOLIDADO!$1:$11</definedName>
    <definedName name="_xlnm.Print_Titles" localSheetId="2">'COSTOS Y GASTOS'!$6:$7</definedName>
    <definedName name="_xlnm.Print_Titles" localSheetId="1">INGRESOS!$6:$9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7" i="7" l="1"/>
  <c r="F129" i="7"/>
  <c r="D98" i="7"/>
  <c r="E55" i="7"/>
  <c r="Q21" i="2"/>
  <c r="E183" i="7" l="1"/>
  <c r="F130" i="7"/>
  <c r="F136" i="7"/>
  <c r="F138" i="7"/>
  <c r="F139" i="7"/>
  <c r="E145" i="7"/>
  <c r="E147" i="7"/>
  <c r="E148" i="7"/>
  <c r="D154" i="7"/>
  <c r="D155" i="7"/>
  <c r="D156" i="7"/>
  <c r="D157" i="7"/>
  <c r="D158" i="7"/>
  <c r="D159" i="7"/>
  <c r="D160" i="7"/>
  <c r="D161" i="7"/>
  <c r="D162" i="7"/>
  <c r="E169" i="7"/>
  <c r="E170" i="7"/>
  <c r="E171" i="7"/>
  <c r="E172" i="7"/>
  <c r="E173" i="7"/>
  <c r="E174" i="7"/>
  <c r="E175" i="7"/>
  <c r="F181" i="7"/>
  <c r="F182" i="7"/>
  <c r="E189" i="7"/>
  <c r="E190" i="7"/>
  <c r="E191" i="7"/>
  <c r="E192" i="7"/>
  <c r="E193" i="7"/>
  <c r="E194" i="7"/>
  <c r="E195" i="7"/>
  <c r="E196" i="7"/>
  <c r="E202" i="7"/>
  <c r="E203" i="7"/>
  <c r="E204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3" i="7"/>
  <c r="E224" i="7"/>
  <c r="E226" i="7"/>
  <c r="E227" i="7"/>
  <c r="E228" i="7"/>
  <c r="F183" i="7"/>
  <c r="D34" i="7" l="1"/>
  <c r="F13" i="16"/>
  <c r="B35" i="2" l="1"/>
  <c r="L29" i="1" l="1"/>
  <c r="K29" i="1"/>
  <c r="J29" i="1"/>
  <c r="I29" i="1"/>
  <c r="H29" i="1"/>
  <c r="G29" i="1"/>
  <c r="F29" i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76" i="1"/>
  <c r="K76" i="1"/>
  <c r="J76" i="1"/>
  <c r="I76" i="1"/>
  <c r="G76" i="1"/>
  <c r="H76" i="1"/>
  <c r="C10" i="16" l="1"/>
  <c r="D14" i="2"/>
  <c r="C14" i="2"/>
  <c r="F13" i="15" l="1"/>
  <c r="C7" i="16"/>
  <c r="C7" i="15"/>
  <c r="G23" i="16" l="1"/>
  <c r="G194" i="1" s="1"/>
  <c r="H23" i="16"/>
  <c r="H194" i="1" s="1"/>
  <c r="I23" i="16"/>
  <c r="I194" i="1" s="1"/>
  <c r="J23" i="16"/>
  <c r="J194" i="1" s="1"/>
  <c r="K23" i="16"/>
  <c r="K194" i="1" s="1"/>
  <c r="L23" i="16"/>
  <c r="L194" i="1" s="1"/>
  <c r="F23" i="16"/>
  <c r="F194" i="1" s="1"/>
  <c r="G29" i="15"/>
  <c r="G193" i="1" s="1"/>
  <c r="H29" i="15"/>
  <c r="H193" i="1" s="1"/>
  <c r="I29" i="15"/>
  <c r="I193" i="1" s="1"/>
  <c r="J29" i="15"/>
  <c r="J193" i="1" s="1"/>
  <c r="K29" i="15"/>
  <c r="K193" i="1" s="1"/>
  <c r="L29" i="15"/>
  <c r="L193" i="1" s="1"/>
  <c r="F29" i="15"/>
  <c r="F193" i="1" s="1"/>
  <c r="I195" i="1" l="1"/>
  <c r="L195" i="1"/>
  <c r="J195" i="1"/>
  <c r="F195" i="1"/>
  <c r="H195" i="1"/>
  <c r="K195" i="1"/>
  <c r="G195" i="1"/>
  <c r="E186" i="1"/>
  <c r="F14" i="2"/>
  <c r="H14" i="2" s="1"/>
  <c r="J14" i="2" s="1"/>
  <c r="L14" i="2" s="1"/>
  <c r="N14" i="2" s="1"/>
  <c r="N35" i="2" s="1"/>
  <c r="E14" i="2"/>
  <c r="G14" i="2" s="1"/>
  <c r="I14" i="2" s="1"/>
  <c r="K14" i="2" s="1"/>
  <c r="M14" i="2" s="1"/>
  <c r="O14" i="2" s="1"/>
  <c r="O35" i="2" s="1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B66" i="2"/>
  <c r="B67" i="2"/>
  <c r="R107" i="14"/>
  <c r="F107" i="14"/>
  <c r="X99" i="14"/>
  <c r="W99" i="14"/>
  <c r="V99" i="14"/>
  <c r="U99" i="14"/>
  <c r="X91" i="14"/>
  <c r="W91" i="14"/>
  <c r="V91" i="14"/>
  <c r="U91" i="14"/>
  <c r="X83" i="14"/>
  <c r="W83" i="14"/>
  <c r="V83" i="14"/>
  <c r="U83" i="14"/>
  <c r="X75" i="14"/>
  <c r="W75" i="14"/>
  <c r="V75" i="14"/>
  <c r="U75" i="14"/>
  <c r="X67" i="14"/>
  <c r="W67" i="14"/>
  <c r="V67" i="14"/>
  <c r="U67" i="14"/>
  <c r="X59" i="14"/>
  <c r="W59" i="14"/>
  <c r="V59" i="14"/>
  <c r="U59" i="14"/>
  <c r="X51" i="14"/>
  <c r="W51" i="14"/>
  <c r="V51" i="14"/>
  <c r="U51" i="14"/>
  <c r="X43" i="14"/>
  <c r="W43" i="14"/>
  <c r="V43" i="14"/>
  <c r="U43" i="14"/>
  <c r="X35" i="14"/>
  <c r="W35" i="14"/>
  <c r="V35" i="14"/>
  <c r="U35" i="14"/>
  <c r="X27" i="14"/>
  <c r="W27" i="14"/>
  <c r="V27" i="14"/>
  <c r="U27" i="14"/>
  <c r="X19" i="14"/>
  <c r="W19" i="14"/>
  <c r="V19" i="14"/>
  <c r="U19" i="14"/>
  <c r="V11" i="14"/>
  <c r="W11" i="14"/>
  <c r="X11" i="14"/>
  <c r="U11" i="14"/>
  <c r="L99" i="14"/>
  <c r="K99" i="14"/>
  <c r="J99" i="14"/>
  <c r="I99" i="14"/>
  <c r="L91" i="14"/>
  <c r="K91" i="14"/>
  <c r="J91" i="14"/>
  <c r="I91" i="14"/>
  <c r="L83" i="14"/>
  <c r="K83" i="14"/>
  <c r="J83" i="14"/>
  <c r="I83" i="14"/>
  <c r="L75" i="14"/>
  <c r="K75" i="14"/>
  <c r="J75" i="14"/>
  <c r="I75" i="14"/>
  <c r="L67" i="14"/>
  <c r="K67" i="14"/>
  <c r="J67" i="14"/>
  <c r="I67" i="14"/>
  <c r="L59" i="14"/>
  <c r="K59" i="14"/>
  <c r="J59" i="14"/>
  <c r="I59" i="14"/>
  <c r="L51" i="14"/>
  <c r="K51" i="14"/>
  <c r="J51" i="14"/>
  <c r="I51" i="14"/>
  <c r="L43" i="14"/>
  <c r="K43" i="14"/>
  <c r="J43" i="14"/>
  <c r="I43" i="14"/>
  <c r="L35" i="14"/>
  <c r="K35" i="14"/>
  <c r="J35" i="14"/>
  <c r="I35" i="14"/>
  <c r="L27" i="14"/>
  <c r="K27" i="14"/>
  <c r="J27" i="14"/>
  <c r="I27" i="14"/>
  <c r="L19" i="14"/>
  <c r="K19" i="14"/>
  <c r="J19" i="14"/>
  <c r="I19" i="14"/>
  <c r="J11" i="14"/>
  <c r="K11" i="14"/>
  <c r="L11" i="14"/>
  <c r="I11" i="14"/>
  <c r="B27" i="13"/>
  <c r="AP43" i="13"/>
  <c r="AP42" i="13"/>
  <c r="AP41" i="13"/>
  <c r="AP40" i="13"/>
  <c r="AP39" i="13"/>
  <c r="AP38" i="13"/>
  <c r="AP37" i="13"/>
  <c r="AP36" i="13"/>
  <c r="AP35" i="13"/>
  <c r="AP34" i="13"/>
  <c r="AP33" i="13"/>
  <c r="AP32" i="13"/>
  <c r="AO43" i="13"/>
  <c r="AO42" i="13"/>
  <c r="AO41" i="13"/>
  <c r="AO40" i="13"/>
  <c r="AO39" i="13"/>
  <c r="AO38" i="13"/>
  <c r="AO37" i="13"/>
  <c r="AO36" i="13"/>
  <c r="AO35" i="13"/>
  <c r="AO34" i="13"/>
  <c r="AO33" i="13"/>
  <c r="AO32" i="13"/>
  <c r="AH43" i="13"/>
  <c r="AH42" i="13"/>
  <c r="AH41" i="13"/>
  <c r="AH40" i="13"/>
  <c r="AH39" i="13"/>
  <c r="AH38" i="13"/>
  <c r="AH37" i="13"/>
  <c r="AH36" i="13"/>
  <c r="AH35" i="13"/>
  <c r="AH34" i="13"/>
  <c r="AH33" i="13"/>
  <c r="AH32" i="13"/>
  <c r="AG43" i="13"/>
  <c r="AG42" i="13"/>
  <c r="AG41" i="13"/>
  <c r="AG40" i="13"/>
  <c r="AG39" i="13"/>
  <c r="AG38" i="13"/>
  <c r="AG37" i="13"/>
  <c r="AG36" i="13"/>
  <c r="AG35" i="13"/>
  <c r="AG34" i="13"/>
  <c r="AG33" i="13"/>
  <c r="AG32" i="13"/>
  <c r="B22" i="13"/>
  <c r="B43" i="13" s="1"/>
  <c r="B21" i="13"/>
  <c r="B42" i="13" s="1"/>
  <c r="M23" i="13"/>
  <c r="M25" i="13" s="1"/>
  <c r="N10" i="13"/>
  <c r="M10" i="13"/>
  <c r="B54" i="2"/>
  <c r="B46" i="2"/>
  <c r="B45" i="2"/>
  <c r="C46" i="2" s="1"/>
  <c r="J35" i="2" l="1"/>
  <c r="F35" i="2"/>
  <c r="G35" i="2"/>
  <c r="K35" i="2"/>
  <c r="M35" i="2"/>
  <c r="I35" i="2"/>
  <c r="E35" i="2"/>
  <c r="C35" i="2"/>
  <c r="D36" i="2" s="1"/>
  <c r="L35" i="2"/>
  <c r="H35" i="2"/>
  <c r="D35" i="2"/>
  <c r="AN40" i="13"/>
  <c r="AN36" i="13"/>
  <c r="AN35" i="13"/>
  <c r="AN39" i="13"/>
  <c r="AN43" i="13"/>
  <c r="AN37" i="13"/>
  <c r="AN41" i="13"/>
  <c r="AF35" i="13"/>
  <c r="AN38" i="13"/>
  <c r="AN42" i="13"/>
  <c r="AF39" i="13"/>
  <c r="AF37" i="13"/>
  <c r="AF41" i="13"/>
  <c r="AN34" i="13"/>
  <c r="AN32" i="13"/>
  <c r="AN33" i="13"/>
  <c r="AF43" i="13"/>
  <c r="AF36" i="13"/>
  <c r="AF40" i="13"/>
  <c r="AF34" i="13"/>
  <c r="AF38" i="13"/>
  <c r="AF42" i="13"/>
  <c r="AF33" i="13"/>
  <c r="AH44" i="13"/>
  <c r="AF32" i="13"/>
  <c r="AG44" i="13"/>
  <c r="D35" i="7"/>
  <c r="D36" i="7" s="1"/>
  <c r="D37" i="7" s="1"/>
  <c r="D38" i="7" s="1"/>
  <c r="D39" i="7" s="1"/>
  <c r="D40" i="7" s="1"/>
  <c r="H23" i="13"/>
  <c r="H25" i="13" s="1"/>
  <c r="C23" i="13"/>
  <c r="L10" i="13"/>
  <c r="D10" i="13"/>
  <c r="E10" i="13"/>
  <c r="F10" i="13"/>
  <c r="G10" i="13"/>
  <c r="H10" i="13"/>
  <c r="I10" i="13"/>
  <c r="J10" i="13"/>
  <c r="K10" i="13"/>
  <c r="C10" i="13"/>
  <c r="AQ33" i="13"/>
  <c r="AQ32" i="13"/>
  <c r="W83" i="2"/>
  <c r="L64" i="1" s="1"/>
  <c r="V83" i="2"/>
  <c r="K64" i="1" s="1"/>
  <c r="U83" i="2"/>
  <c r="J64" i="1" s="1"/>
  <c r="T83" i="2"/>
  <c r="I64" i="1" s="1"/>
  <c r="S83" i="2"/>
  <c r="H64" i="1" s="1"/>
  <c r="R83" i="2"/>
  <c r="G64" i="1" s="1"/>
  <c r="Q83" i="2"/>
  <c r="F64" i="1" s="1"/>
  <c r="W82" i="2"/>
  <c r="L63" i="1" s="1"/>
  <c r="V82" i="2"/>
  <c r="K63" i="1" s="1"/>
  <c r="U82" i="2"/>
  <c r="J63" i="1" s="1"/>
  <c r="T82" i="2"/>
  <c r="I63" i="1" s="1"/>
  <c r="S82" i="2"/>
  <c r="H63" i="1" s="1"/>
  <c r="R82" i="2"/>
  <c r="Q82" i="2"/>
  <c r="F63" i="1" s="1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W93" i="2"/>
  <c r="L69" i="1" s="1"/>
  <c r="V93" i="2"/>
  <c r="K69" i="1" s="1"/>
  <c r="U93" i="2"/>
  <c r="J69" i="1" s="1"/>
  <c r="T93" i="2"/>
  <c r="I69" i="1" s="1"/>
  <c r="S93" i="2"/>
  <c r="H69" i="1" s="1"/>
  <c r="R93" i="2"/>
  <c r="G69" i="1" s="1"/>
  <c r="Q93" i="2"/>
  <c r="F69" i="1" s="1"/>
  <c r="W92" i="2"/>
  <c r="L68" i="1" s="1"/>
  <c r="V92" i="2"/>
  <c r="K68" i="1" s="1"/>
  <c r="U92" i="2"/>
  <c r="J68" i="1" s="1"/>
  <c r="T92" i="2"/>
  <c r="I68" i="1" s="1"/>
  <c r="S92" i="2"/>
  <c r="H68" i="1" s="1"/>
  <c r="R92" i="2"/>
  <c r="G68" i="1" s="1"/>
  <c r="Q92" i="2"/>
  <c r="F68" i="1" s="1"/>
  <c r="W91" i="2"/>
  <c r="L67" i="1" s="1"/>
  <c r="V91" i="2"/>
  <c r="K67" i="1" s="1"/>
  <c r="U91" i="2"/>
  <c r="J67" i="1" s="1"/>
  <c r="T91" i="2"/>
  <c r="I67" i="1" s="1"/>
  <c r="S91" i="2"/>
  <c r="H67" i="1" s="1"/>
  <c r="R91" i="2"/>
  <c r="G67" i="1" s="1"/>
  <c r="Q91" i="2"/>
  <c r="F67" i="1" s="1"/>
  <c r="W90" i="2"/>
  <c r="L66" i="1" s="1"/>
  <c r="V90" i="2"/>
  <c r="K66" i="1" s="1"/>
  <c r="U90" i="2"/>
  <c r="J66" i="1" s="1"/>
  <c r="T90" i="2"/>
  <c r="I66" i="1" s="1"/>
  <c r="S90" i="2"/>
  <c r="H66" i="1" s="1"/>
  <c r="R90" i="2"/>
  <c r="G66" i="1" s="1"/>
  <c r="Q90" i="2"/>
  <c r="F66" i="1" s="1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B37" i="2"/>
  <c r="C38" i="2" s="1"/>
  <c r="D39" i="2" s="1"/>
  <c r="E40" i="2" s="1"/>
  <c r="F41" i="2" s="1"/>
  <c r="G42" i="2" s="1"/>
  <c r="B38" i="2"/>
  <c r="C39" i="2" s="1"/>
  <c r="D40" i="2" s="1"/>
  <c r="E41" i="2" s="1"/>
  <c r="F42" i="2" s="1"/>
  <c r="G43" i="2" s="1"/>
  <c r="B39" i="2"/>
  <c r="C40" i="2" s="1"/>
  <c r="D41" i="2" s="1"/>
  <c r="E42" i="2" s="1"/>
  <c r="F43" i="2" s="1"/>
  <c r="G44" i="2" s="1"/>
  <c r="B40" i="2"/>
  <c r="C41" i="2" s="1"/>
  <c r="D42" i="2" s="1"/>
  <c r="E43" i="2" s="1"/>
  <c r="F44" i="2" s="1"/>
  <c r="G45" i="2" s="1"/>
  <c r="B41" i="2"/>
  <c r="B42" i="2"/>
  <c r="C43" i="2" s="1"/>
  <c r="D44" i="2" s="1"/>
  <c r="E45" i="2" s="1"/>
  <c r="B43" i="2"/>
  <c r="C44" i="2" s="1"/>
  <c r="B44" i="2"/>
  <c r="C45" i="2" s="1"/>
  <c r="B36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G55" i="1"/>
  <c r="H55" i="1"/>
  <c r="I55" i="1"/>
  <c r="J55" i="1"/>
  <c r="K55" i="1"/>
  <c r="L55" i="1"/>
  <c r="G56" i="1"/>
  <c r="H56" i="1"/>
  <c r="I56" i="1"/>
  <c r="J56" i="1"/>
  <c r="K56" i="1"/>
  <c r="L56" i="1"/>
  <c r="G57" i="1"/>
  <c r="H57" i="1"/>
  <c r="I57" i="1"/>
  <c r="J57" i="1"/>
  <c r="K57" i="1"/>
  <c r="L57" i="1"/>
  <c r="G58" i="1"/>
  <c r="H58" i="1"/>
  <c r="I58" i="1"/>
  <c r="J58" i="1"/>
  <c r="K58" i="1"/>
  <c r="L58" i="1"/>
  <c r="F56" i="1"/>
  <c r="F57" i="1"/>
  <c r="F58" i="1"/>
  <c r="F55" i="1"/>
  <c r="G47" i="1"/>
  <c r="H47" i="1"/>
  <c r="I47" i="1"/>
  <c r="J47" i="1"/>
  <c r="K47" i="1"/>
  <c r="L47" i="1"/>
  <c r="G48" i="1"/>
  <c r="H48" i="1"/>
  <c r="I48" i="1"/>
  <c r="J48" i="1"/>
  <c r="K48" i="1"/>
  <c r="L48" i="1"/>
  <c r="G49" i="1"/>
  <c r="H49" i="1"/>
  <c r="I49" i="1"/>
  <c r="J49" i="1"/>
  <c r="K49" i="1"/>
  <c r="L49" i="1"/>
  <c r="F48" i="1"/>
  <c r="F49" i="1"/>
  <c r="F47" i="1"/>
  <c r="W27" i="2"/>
  <c r="V27" i="2"/>
  <c r="U27" i="2"/>
  <c r="T27" i="2"/>
  <c r="S27" i="2"/>
  <c r="R27" i="2"/>
  <c r="Q27" i="2"/>
  <c r="W26" i="2"/>
  <c r="V26" i="2"/>
  <c r="U26" i="2"/>
  <c r="T26" i="2"/>
  <c r="S26" i="2"/>
  <c r="R26" i="2"/>
  <c r="Q26" i="2"/>
  <c r="W25" i="2"/>
  <c r="V25" i="2"/>
  <c r="U25" i="2"/>
  <c r="T25" i="2"/>
  <c r="S25" i="2"/>
  <c r="R25" i="2"/>
  <c r="Q25" i="2"/>
  <c r="W24" i="2"/>
  <c r="V24" i="2"/>
  <c r="U24" i="2"/>
  <c r="T24" i="2"/>
  <c r="S24" i="2"/>
  <c r="R24" i="2"/>
  <c r="Q24" i="2"/>
  <c r="W23" i="2"/>
  <c r="V23" i="2"/>
  <c r="U23" i="2"/>
  <c r="T23" i="2"/>
  <c r="S23" i="2"/>
  <c r="R23" i="2"/>
  <c r="Q23" i="2"/>
  <c r="W22" i="2"/>
  <c r="V22" i="2"/>
  <c r="U22" i="2"/>
  <c r="T22" i="2"/>
  <c r="S22" i="2"/>
  <c r="R22" i="2"/>
  <c r="Q22" i="2"/>
  <c r="W21" i="2"/>
  <c r="V21" i="2"/>
  <c r="U21" i="2"/>
  <c r="T21" i="2"/>
  <c r="S21" i="2"/>
  <c r="R21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B12" i="2"/>
  <c r="B59" i="2" s="1"/>
  <c r="G11" i="1"/>
  <c r="G13" i="16" s="1"/>
  <c r="E46" i="9"/>
  <c r="F46" i="9" s="1"/>
  <c r="F115" i="7"/>
  <c r="F107" i="7"/>
  <c r="F99" i="7"/>
  <c r="F91" i="7"/>
  <c r="F83" i="7"/>
  <c r="F73" i="7"/>
  <c r="F74" i="7"/>
  <c r="F75" i="7"/>
  <c r="F65" i="7"/>
  <c r="L61" i="1"/>
  <c r="K61" i="1"/>
  <c r="L50" i="1"/>
  <c r="K50" i="1"/>
  <c r="L42" i="1"/>
  <c r="K42" i="1"/>
  <c r="L41" i="1"/>
  <c r="K41" i="1"/>
  <c r="L40" i="1"/>
  <c r="L44" i="1" s="1"/>
  <c r="K40" i="1"/>
  <c r="K44" i="1" s="1"/>
  <c r="L39" i="1"/>
  <c r="K39" i="1"/>
  <c r="L28" i="1"/>
  <c r="K28" i="1"/>
  <c r="L18" i="1"/>
  <c r="K18" i="1"/>
  <c r="L17" i="1"/>
  <c r="K17" i="1"/>
  <c r="L16" i="1"/>
  <c r="L20" i="1" s="1"/>
  <c r="K16" i="1"/>
  <c r="K20" i="1" s="1"/>
  <c r="L15" i="1"/>
  <c r="K15" i="1"/>
  <c r="F142" i="1"/>
  <c r="D106" i="7"/>
  <c r="F106" i="7" s="1"/>
  <c r="F98" i="7"/>
  <c r="AP44" i="13"/>
  <c r="AO44" i="13"/>
  <c r="Q51" i="2"/>
  <c r="Q11" i="2"/>
  <c r="R11" i="2" s="1"/>
  <c r="S11" i="2" s="1"/>
  <c r="Q32" i="2"/>
  <c r="R32" i="2" s="1"/>
  <c r="S32" i="2" s="1"/>
  <c r="T32" i="2" s="1"/>
  <c r="U32" i="2" s="1"/>
  <c r="V32" i="2" s="1"/>
  <c r="W32" i="2" s="1"/>
  <c r="C163" i="7"/>
  <c r="D163" i="7" s="1"/>
  <c r="F137" i="1" s="1"/>
  <c r="G137" i="1" s="1"/>
  <c r="H137" i="1" s="1"/>
  <c r="I137" i="1" s="1"/>
  <c r="J137" i="1" s="1"/>
  <c r="K137" i="1" s="1"/>
  <c r="L137" i="1" s="1"/>
  <c r="M16" i="12"/>
  <c r="E16" i="12" s="1"/>
  <c r="L16" i="12"/>
  <c r="K16" i="12"/>
  <c r="M15" i="12"/>
  <c r="E15" i="12" s="1"/>
  <c r="C30" i="9" s="1"/>
  <c r="C31" i="9" s="1"/>
  <c r="C32" i="9" s="1"/>
  <c r="C33" i="9" s="1"/>
  <c r="C34" i="9" s="1"/>
  <c r="C35" i="9" s="1"/>
  <c r="C36" i="9" s="1"/>
  <c r="L15" i="12"/>
  <c r="K15" i="12"/>
  <c r="M14" i="12"/>
  <c r="E14" i="12" s="1"/>
  <c r="C10" i="9" s="1"/>
  <c r="C11" i="9" s="1"/>
  <c r="C12" i="9" s="1"/>
  <c r="C13" i="9" s="1"/>
  <c r="C14" i="9" s="1"/>
  <c r="C15" i="9" s="1"/>
  <c r="C16" i="9" s="1"/>
  <c r="L14" i="12"/>
  <c r="K14" i="12"/>
  <c r="M13" i="12"/>
  <c r="E13" i="12" s="1"/>
  <c r="C20" i="9" s="1"/>
  <c r="C21" i="9" s="1"/>
  <c r="C22" i="9" s="1"/>
  <c r="C23" i="9" s="1"/>
  <c r="C24" i="9" s="1"/>
  <c r="C25" i="9" s="1"/>
  <c r="C26" i="9" s="1"/>
  <c r="L13" i="12"/>
  <c r="K13" i="12"/>
  <c r="E8" i="12"/>
  <c r="E7" i="12"/>
  <c r="E6" i="12"/>
  <c r="E5" i="12"/>
  <c r="F149" i="1"/>
  <c r="G149" i="1" s="1"/>
  <c r="H149" i="1" s="1"/>
  <c r="I149" i="1" s="1"/>
  <c r="J149" i="1" s="1"/>
  <c r="K149" i="1" s="1"/>
  <c r="L149" i="1" s="1"/>
  <c r="E56" i="7"/>
  <c r="E57" i="7"/>
  <c r="E58" i="7"/>
  <c r="J61" i="1"/>
  <c r="J50" i="1"/>
  <c r="J42" i="1"/>
  <c r="J41" i="1"/>
  <c r="J40" i="1"/>
  <c r="J43" i="1" s="1"/>
  <c r="J39" i="1"/>
  <c r="J28" i="1"/>
  <c r="J18" i="1"/>
  <c r="J17" i="1"/>
  <c r="J16" i="1"/>
  <c r="J20" i="1" s="1"/>
  <c r="J15" i="1"/>
  <c r="F28" i="13"/>
  <c r="B12" i="13"/>
  <c r="B33" i="13" s="1"/>
  <c r="B13" i="13"/>
  <c r="B34" i="13" s="1"/>
  <c r="B14" i="13"/>
  <c r="B35" i="13" s="1"/>
  <c r="B15" i="13"/>
  <c r="B36" i="13" s="1"/>
  <c r="B16" i="13"/>
  <c r="B37" i="13" s="1"/>
  <c r="B17" i="13"/>
  <c r="B38" i="13" s="1"/>
  <c r="B18" i="13"/>
  <c r="B39" i="13" s="1"/>
  <c r="B19" i="13"/>
  <c r="B40" i="13" s="1"/>
  <c r="B20" i="13"/>
  <c r="B41" i="13" s="1"/>
  <c r="B11" i="13"/>
  <c r="B32" i="13" s="1"/>
  <c r="G142" i="1"/>
  <c r="H142" i="1" s="1"/>
  <c r="I142" i="1" s="1"/>
  <c r="J142" i="1" s="1"/>
  <c r="K142" i="1" s="1"/>
  <c r="L142" i="1" s="1"/>
  <c r="G61" i="1"/>
  <c r="H61" i="1"/>
  <c r="I61" i="1"/>
  <c r="F61" i="1"/>
  <c r="G50" i="1"/>
  <c r="H50" i="1"/>
  <c r="I50" i="1"/>
  <c r="F50" i="1"/>
  <c r="G39" i="1"/>
  <c r="H39" i="1"/>
  <c r="I39" i="1"/>
  <c r="G40" i="1"/>
  <c r="G44" i="1" s="1"/>
  <c r="H40" i="1"/>
  <c r="H44" i="1" s="1"/>
  <c r="I40" i="1"/>
  <c r="I43" i="1" s="1"/>
  <c r="G41" i="1"/>
  <c r="H41" i="1"/>
  <c r="I41" i="1"/>
  <c r="G42" i="1"/>
  <c r="H42" i="1"/>
  <c r="I42" i="1"/>
  <c r="F42" i="1"/>
  <c r="F41" i="1"/>
  <c r="F40" i="1"/>
  <c r="F44" i="1" s="1"/>
  <c r="F39" i="1"/>
  <c r="G15" i="1"/>
  <c r="H15" i="1"/>
  <c r="I15" i="1"/>
  <c r="G16" i="1"/>
  <c r="G19" i="1" s="1"/>
  <c r="H16" i="1"/>
  <c r="H19" i="1" s="1"/>
  <c r="I16" i="1"/>
  <c r="I20" i="1" s="1"/>
  <c r="G17" i="1"/>
  <c r="H17" i="1"/>
  <c r="I17" i="1"/>
  <c r="G18" i="1"/>
  <c r="H18" i="1"/>
  <c r="I18" i="1"/>
  <c r="F18" i="1"/>
  <c r="F17" i="1"/>
  <c r="F16" i="1"/>
  <c r="F20" i="1" s="1"/>
  <c r="H27" i="1"/>
  <c r="I28" i="1"/>
  <c r="F28" i="1"/>
  <c r="F15" i="1"/>
  <c r="F176" i="1"/>
  <c r="G176" i="1" s="1"/>
  <c r="H176" i="1" s="1"/>
  <c r="I176" i="1" s="1"/>
  <c r="J176" i="1" s="1"/>
  <c r="K176" i="1" s="1"/>
  <c r="L176" i="1" s="1"/>
  <c r="F151" i="1"/>
  <c r="G151" i="1" s="1"/>
  <c r="H151" i="1" s="1"/>
  <c r="I151" i="1" s="1"/>
  <c r="J151" i="1" s="1"/>
  <c r="K151" i="1" s="1"/>
  <c r="L151" i="1" s="1"/>
  <c r="F111" i="1"/>
  <c r="G111" i="1" s="1"/>
  <c r="E46" i="7"/>
  <c r="E45" i="9"/>
  <c r="F45" i="9" s="1"/>
  <c r="G45" i="9" s="1"/>
  <c r="E44" i="9"/>
  <c r="L89" i="1" s="1"/>
  <c r="E43" i="9"/>
  <c r="I89" i="1" s="1"/>
  <c r="E42" i="9"/>
  <c r="F42" i="9" s="1"/>
  <c r="G42" i="9" s="1"/>
  <c r="E41" i="9"/>
  <c r="G89" i="1" s="1"/>
  <c r="E40" i="9"/>
  <c r="F40" i="9" s="1"/>
  <c r="F177" i="1"/>
  <c r="G177" i="1" s="1"/>
  <c r="H177" i="1" s="1"/>
  <c r="I177" i="1" s="1"/>
  <c r="J177" i="1" s="1"/>
  <c r="K177" i="1" s="1"/>
  <c r="L177" i="1" s="1"/>
  <c r="F178" i="1"/>
  <c r="G178" i="1" s="1"/>
  <c r="H178" i="1" s="1"/>
  <c r="I178" i="1" s="1"/>
  <c r="J178" i="1" s="1"/>
  <c r="K178" i="1" s="1"/>
  <c r="L178" i="1" s="1"/>
  <c r="F115" i="1"/>
  <c r="G115" i="1" s="1"/>
  <c r="H115" i="1" s="1"/>
  <c r="I115" i="1" s="1"/>
  <c r="J115" i="1" s="1"/>
  <c r="K115" i="1" s="1"/>
  <c r="F123" i="7"/>
  <c r="F122" i="7"/>
  <c r="F108" i="7"/>
  <c r="F92" i="7"/>
  <c r="F90" i="7"/>
  <c r="F76" i="7"/>
  <c r="F72" i="7"/>
  <c r="D28" i="7"/>
  <c r="D27" i="7"/>
  <c r="E11" i="7"/>
  <c r="F11" i="7" s="1"/>
  <c r="G11" i="7" s="1"/>
  <c r="F174" i="1"/>
  <c r="G174" i="1" s="1"/>
  <c r="H174" i="1" s="1"/>
  <c r="I174" i="1" s="1"/>
  <c r="J174" i="1" s="1"/>
  <c r="K174" i="1" s="1"/>
  <c r="L174" i="1" s="1"/>
  <c r="F173" i="1"/>
  <c r="G173" i="1" s="1"/>
  <c r="H173" i="1" s="1"/>
  <c r="I173" i="1" s="1"/>
  <c r="J173" i="1" s="1"/>
  <c r="K173" i="1" s="1"/>
  <c r="L173" i="1" s="1"/>
  <c r="F171" i="1"/>
  <c r="G171" i="1" s="1"/>
  <c r="H171" i="1" s="1"/>
  <c r="I171" i="1" s="1"/>
  <c r="J171" i="1" s="1"/>
  <c r="K171" i="1" s="1"/>
  <c r="L171" i="1" s="1"/>
  <c r="F170" i="1"/>
  <c r="G170" i="1" s="1"/>
  <c r="H170" i="1" s="1"/>
  <c r="I170" i="1" s="1"/>
  <c r="J170" i="1" s="1"/>
  <c r="K170" i="1" s="1"/>
  <c r="L170" i="1" s="1"/>
  <c r="F169" i="1"/>
  <c r="G169" i="1" s="1"/>
  <c r="H169" i="1" s="1"/>
  <c r="I169" i="1" s="1"/>
  <c r="J169" i="1" s="1"/>
  <c r="K169" i="1" s="1"/>
  <c r="L169" i="1" s="1"/>
  <c r="F168" i="1"/>
  <c r="G168" i="1" s="1"/>
  <c r="H168" i="1" s="1"/>
  <c r="I168" i="1" s="1"/>
  <c r="J168" i="1" s="1"/>
  <c r="K168" i="1" s="1"/>
  <c r="L168" i="1" s="1"/>
  <c r="F167" i="1"/>
  <c r="G167" i="1" s="1"/>
  <c r="H167" i="1" s="1"/>
  <c r="I167" i="1" s="1"/>
  <c r="J167" i="1" s="1"/>
  <c r="K167" i="1" s="1"/>
  <c r="L167" i="1" s="1"/>
  <c r="F166" i="1"/>
  <c r="G166" i="1" s="1"/>
  <c r="H166" i="1" s="1"/>
  <c r="I166" i="1" s="1"/>
  <c r="J166" i="1" s="1"/>
  <c r="K166" i="1" s="1"/>
  <c r="L166" i="1" s="1"/>
  <c r="F165" i="1"/>
  <c r="G165" i="1" s="1"/>
  <c r="H165" i="1" s="1"/>
  <c r="I165" i="1" s="1"/>
  <c r="J165" i="1" s="1"/>
  <c r="K165" i="1" s="1"/>
  <c r="L165" i="1" s="1"/>
  <c r="F164" i="1"/>
  <c r="G164" i="1" s="1"/>
  <c r="H164" i="1" s="1"/>
  <c r="I164" i="1" s="1"/>
  <c r="J164" i="1" s="1"/>
  <c r="K164" i="1" s="1"/>
  <c r="L164" i="1" s="1"/>
  <c r="F163" i="1"/>
  <c r="G163" i="1" s="1"/>
  <c r="H163" i="1" s="1"/>
  <c r="I163" i="1" s="1"/>
  <c r="J163" i="1" s="1"/>
  <c r="K163" i="1" s="1"/>
  <c r="L163" i="1" s="1"/>
  <c r="F162" i="1"/>
  <c r="G162" i="1" s="1"/>
  <c r="H162" i="1" s="1"/>
  <c r="I162" i="1" s="1"/>
  <c r="J162" i="1" s="1"/>
  <c r="K162" i="1" s="1"/>
  <c r="L162" i="1" s="1"/>
  <c r="F161" i="1"/>
  <c r="G161" i="1" s="1"/>
  <c r="H161" i="1" s="1"/>
  <c r="I161" i="1" s="1"/>
  <c r="J161" i="1" s="1"/>
  <c r="K161" i="1" s="1"/>
  <c r="L161" i="1" s="1"/>
  <c r="F116" i="7"/>
  <c r="F114" i="7"/>
  <c r="F100" i="7"/>
  <c r="F84" i="7"/>
  <c r="F82" i="7"/>
  <c r="F66" i="7"/>
  <c r="F64" i="7"/>
  <c r="F157" i="1"/>
  <c r="G157" i="1" s="1"/>
  <c r="H157" i="1" s="1"/>
  <c r="I157" i="1" s="1"/>
  <c r="J157" i="1" s="1"/>
  <c r="K157" i="1" s="1"/>
  <c r="L157" i="1" s="1"/>
  <c r="F156" i="1"/>
  <c r="F155" i="1"/>
  <c r="G155" i="1" s="1"/>
  <c r="F152" i="1"/>
  <c r="G152" i="1" s="1"/>
  <c r="H152" i="1" s="1"/>
  <c r="I152" i="1" s="1"/>
  <c r="J152" i="1" s="1"/>
  <c r="K152" i="1" s="1"/>
  <c r="L152" i="1" s="1"/>
  <c r="F150" i="1"/>
  <c r="G150" i="1" s="1"/>
  <c r="H150" i="1" s="1"/>
  <c r="I150" i="1" s="1"/>
  <c r="J150" i="1" s="1"/>
  <c r="K150" i="1" s="1"/>
  <c r="L150" i="1" s="1"/>
  <c r="F148" i="1"/>
  <c r="G148" i="1" s="1"/>
  <c r="H148" i="1" s="1"/>
  <c r="I148" i="1" s="1"/>
  <c r="J148" i="1" s="1"/>
  <c r="K148" i="1" s="1"/>
  <c r="L148" i="1" s="1"/>
  <c r="F147" i="1"/>
  <c r="G147" i="1" s="1"/>
  <c r="H147" i="1" s="1"/>
  <c r="I147" i="1" s="1"/>
  <c r="J147" i="1" s="1"/>
  <c r="K147" i="1" s="1"/>
  <c r="L147" i="1" s="1"/>
  <c r="F146" i="1"/>
  <c r="G146" i="1" s="1"/>
  <c r="H146" i="1" s="1"/>
  <c r="I146" i="1" s="1"/>
  <c r="J146" i="1" s="1"/>
  <c r="K146" i="1" s="1"/>
  <c r="L146" i="1" s="1"/>
  <c r="F145" i="1"/>
  <c r="G145" i="1" s="1"/>
  <c r="F141" i="1"/>
  <c r="G141" i="1" s="1"/>
  <c r="H141" i="1" s="1"/>
  <c r="I141" i="1" s="1"/>
  <c r="F140" i="1"/>
  <c r="G140" i="1" s="1"/>
  <c r="H140" i="1" s="1"/>
  <c r="I140" i="1" s="1"/>
  <c r="J140" i="1" s="1"/>
  <c r="K140" i="1" s="1"/>
  <c r="F136" i="1"/>
  <c r="G136" i="1" s="1"/>
  <c r="H136" i="1" s="1"/>
  <c r="I136" i="1" s="1"/>
  <c r="J136" i="1" s="1"/>
  <c r="K136" i="1" s="1"/>
  <c r="L136" i="1" s="1"/>
  <c r="F135" i="1"/>
  <c r="G135" i="1" s="1"/>
  <c r="H135" i="1" s="1"/>
  <c r="I135" i="1" s="1"/>
  <c r="J135" i="1" s="1"/>
  <c r="K135" i="1" s="1"/>
  <c r="L135" i="1" s="1"/>
  <c r="F134" i="1"/>
  <c r="G134" i="1" s="1"/>
  <c r="H134" i="1" s="1"/>
  <c r="I134" i="1" s="1"/>
  <c r="J134" i="1" s="1"/>
  <c r="K134" i="1" s="1"/>
  <c r="L134" i="1" s="1"/>
  <c r="F133" i="1"/>
  <c r="G133" i="1" s="1"/>
  <c r="H133" i="1" s="1"/>
  <c r="I133" i="1" s="1"/>
  <c r="J133" i="1" s="1"/>
  <c r="K133" i="1" s="1"/>
  <c r="L133" i="1" s="1"/>
  <c r="F132" i="1"/>
  <c r="G132" i="1" s="1"/>
  <c r="H132" i="1" s="1"/>
  <c r="I132" i="1" s="1"/>
  <c r="J132" i="1" s="1"/>
  <c r="K132" i="1" s="1"/>
  <c r="L132" i="1" s="1"/>
  <c r="F130" i="1"/>
  <c r="G130" i="1" s="1"/>
  <c r="H130" i="1" s="1"/>
  <c r="I130" i="1" s="1"/>
  <c r="J130" i="1" s="1"/>
  <c r="K130" i="1" s="1"/>
  <c r="L130" i="1" s="1"/>
  <c r="F129" i="1"/>
  <c r="G129" i="1" s="1"/>
  <c r="H129" i="1" s="1"/>
  <c r="I129" i="1" s="1"/>
  <c r="J129" i="1" s="1"/>
  <c r="K129" i="1" s="1"/>
  <c r="L129" i="1" s="1"/>
  <c r="F128" i="1"/>
  <c r="G128" i="1" s="1"/>
  <c r="H128" i="1" s="1"/>
  <c r="I128" i="1" s="1"/>
  <c r="J128" i="1" s="1"/>
  <c r="K128" i="1" s="1"/>
  <c r="L128" i="1" s="1"/>
  <c r="F127" i="1"/>
  <c r="G127" i="1" s="1"/>
  <c r="F123" i="1"/>
  <c r="G123" i="1" s="1"/>
  <c r="H123" i="1" s="1"/>
  <c r="I123" i="1" s="1"/>
  <c r="J123" i="1" s="1"/>
  <c r="K123" i="1" s="1"/>
  <c r="L123" i="1" s="1"/>
  <c r="F121" i="1"/>
  <c r="G121" i="1" s="1"/>
  <c r="H121" i="1" s="1"/>
  <c r="I121" i="1" s="1"/>
  <c r="J121" i="1" s="1"/>
  <c r="K121" i="1" s="1"/>
  <c r="L121" i="1" s="1"/>
  <c r="F118" i="1"/>
  <c r="G118" i="1" s="1"/>
  <c r="H118" i="1" s="1"/>
  <c r="I118" i="1" s="1"/>
  <c r="J118" i="1" s="1"/>
  <c r="K118" i="1" s="1"/>
  <c r="L118" i="1" s="1"/>
  <c r="F117" i="1"/>
  <c r="G117" i="1" s="1"/>
  <c r="H117" i="1" s="1"/>
  <c r="I117" i="1" s="1"/>
  <c r="J117" i="1" s="1"/>
  <c r="K117" i="1" s="1"/>
  <c r="L117" i="1" s="1"/>
  <c r="F116" i="1"/>
  <c r="G116" i="1" s="1"/>
  <c r="H116" i="1" s="1"/>
  <c r="I116" i="1" s="1"/>
  <c r="J116" i="1" s="1"/>
  <c r="K116" i="1" s="1"/>
  <c r="L116" i="1" s="1"/>
  <c r="F112" i="1"/>
  <c r="G112" i="1" s="1"/>
  <c r="H112" i="1" s="1"/>
  <c r="I112" i="1" s="1"/>
  <c r="J112" i="1" s="1"/>
  <c r="K112" i="1" s="1"/>
  <c r="L112" i="1" s="1"/>
  <c r="E49" i="7"/>
  <c r="E48" i="7"/>
  <c r="E47" i="7"/>
  <c r="D20" i="7"/>
  <c r="D19" i="7"/>
  <c r="E12" i="7"/>
  <c r="F12" i="7" s="1"/>
  <c r="Q95" i="2"/>
  <c r="F71" i="1" s="1"/>
  <c r="Q94" i="2"/>
  <c r="R94" i="2" s="1"/>
  <c r="G70" i="1" s="1"/>
  <c r="B186" i="1"/>
  <c r="F160" i="1"/>
  <c r="G160" i="1" s="1"/>
  <c r="H160" i="1" s="1"/>
  <c r="I160" i="1" s="1"/>
  <c r="J160" i="1" s="1"/>
  <c r="K160" i="1" s="1"/>
  <c r="L160" i="1" s="1"/>
  <c r="F124" i="1"/>
  <c r="G63" i="1"/>
  <c r="R51" i="2" l="1"/>
  <c r="S51" i="2" s="1"/>
  <c r="T51" i="2" s="1"/>
  <c r="U51" i="2" s="1"/>
  <c r="V51" i="2" s="1"/>
  <c r="W51" i="2" s="1"/>
  <c r="F41" i="9"/>
  <c r="G41" i="9" s="1"/>
  <c r="F89" i="1"/>
  <c r="G40" i="9"/>
  <c r="O16" i="12"/>
  <c r="B52" i="2"/>
  <c r="R95" i="2"/>
  <c r="G71" i="1" s="1"/>
  <c r="B80" i="2"/>
  <c r="C33" i="13"/>
  <c r="B75" i="2"/>
  <c r="S94" i="2"/>
  <c r="H70" i="1" s="1"/>
  <c r="F70" i="1"/>
  <c r="O15" i="12"/>
  <c r="E37" i="2"/>
  <c r="F38" i="2" s="1"/>
  <c r="G39" i="2" s="1"/>
  <c r="H40" i="2" s="1"/>
  <c r="I41" i="2" s="1"/>
  <c r="J42" i="2" s="1"/>
  <c r="K43" i="2" s="1"/>
  <c r="L44" i="2" s="1"/>
  <c r="M45" i="2" s="1"/>
  <c r="N46" i="2" s="1"/>
  <c r="D12" i="2"/>
  <c r="D88" i="2" s="1"/>
  <c r="G13" i="15"/>
  <c r="I51" i="1"/>
  <c r="AQ34" i="13"/>
  <c r="V29" i="14" s="1"/>
  <c r="H60" i="1"/>
  <c r="J59" i="1"/>
  <c r="E53" i="1"/>
  <c r="L59" i="1"/>
  <c r="L52" i="1"/>
  <c r="H52" i="1"/>
  <c r="J52" i="1"/>
  <c r="F60" i="1"/>
  <c r="L60" i="1"/>
  <c r="J60" i="1"/>
  <c r="K52" i="1"/>
  <c r="G51" i="1"/>
  <c r="H51" i="1"/>
  <c r="H59" i="1"/>
  <c r="L51" i="1"/>
  <c r="F93" i="7"/>
  <c r="F106" i="1" s="1"/>
  <c r="G106" i="1" s="1"/>
  <c r="H106" i="1" s="1"/>
  <c r="I106" i="1" s="1"/>
  <c r="J106" i="1" s="1"/>
  <c r="K106" i="1" s="1"/>
  <c r="L106" i="1" s="1"/>
  <c r="F52" i="1"/>
  <c r="I52" i="1"/>
  <c r="F59" i="1"/>
  <c r="K59" i="1"/>
  <c r="G60" i="1"/>
  <c r="E61" i="1"/>
  <c r="J51" i="1"/>
  <c r="O13" i="12"/>
  <c r="Z54" i="2"/>
  <c r="C36" i="2"/>
  <c r="C54" i="2"/>
  <c r="C222" i="7" s="1"/>
  <c r="E222" i="7" s="1"/>
  <c r="F172" i="1" s="1"/>
  <c r="F43" i="9"/>
  <c r="G43" i="9" s="1"/>
  <c r="H89" i="1"/>
  <c r="J89" i="1"/>
  <c r="G46" i="9"/>
  <c r="F44" i="9"/>
  <c r="G44" i="9" s="1"/>
  <c r="V21" i="14"/>
  <c r="U21" i="14"/>
  <c r="W21" i="14"/>
  <c r="X21" i="14"/>
  <c r="X13" i="14"/>
  <c r="U13" i="14"/>
  <c r="V13" i="14"/>
  <c r="W13" i="14"/>
  <c r="Z37" i="2"/>
  <c r="E24" i="13" s="1"/>
  <c r="Z46" i="2"/>
  <c r="N24" i="13" s="1"/>
  <c r="Z45" i="2"/>
  <c r="M24" i="13" s="1"/>
  <c r="F77" i="7"/>
  <c r="F105" i="1" s="1"/>
  <c r="G105" i="1" s="1"/>
  <c r="H105" i="1" s="1"/>
  <c r="I105" i="1" s="1"/>
  <c r="J105" i="1" s="1"/>
  <c r="K105" i="1" s="1"/>
  <c r="L105" i="1" s="1"/>
  <c r="F109" i="7"/>
  <c r="F107" i="1" s="1"/>
  <c r="G107" i="1" s="1"/>
  <c r="H107" i="1" s="1"/>
  <c r="I107" i="1" s="1"/>
  <c r="J107" i="1" s="1"/>
  <c r="K107" i="1" s="1"/>
  <c r="L107" i="1" s="1"/>
  <c r="E176" i="7"/>
  <c r="F131" i="1" s="1"/>
  <c r="G131" i="1" s="1"/>
  <c r="H131" i="1" s="1"/>
  <c r="I131" i="1" s="1"/>
  <c r="J131" i="1" s="1"/>
  <c r="K131" i="1" s="1"/>
  <c r="L131" i="1" s="1"/>
  <c r="D21" i="7"/>
  <c r="F84" i="1" s="1"/>
  <c r="G84" i="1" s="1"/>
  <c r="H84" i="1" s="1"/>
  <c r="I84" i="1" s="1"/>
  <c r="J84" i="1" s="1"/>
  <c r="K84" i="1" s="1"/>
  <c r="L84" i="1" s="1"/>
  <c r="F140" i="7"/>
  <c r="F85" i="7"/>
  <c r="F101" i="1" s="1"/>
  <c r="G101" i="1" s="1"/>
  <c r="H101" i="1" s="1"/>
  <c r="I101" i="1" s="1"/>
  <c r="J101" i="1" s="1"/>
  <c r="K101" i="1" s="1"/>
  <c r="L101" i="1" s="1"/>
  <c r="AN44" i="13"/>
  <c r="AP45" i="13" s="1"/>
  <c r="K43" i="1"/>
  <c r="Q46" i="2"/>
  <c r="AF44" i="13"/>
  <c r="AH45" i="13" s="1"/>
  <c r="Q41" i="2"/>
  <c r="F46" i="2"/>
  <c r="C37" i="2"/>
  <c r="D38" i="2" s="1"/>
  <c r="E39" i="2" s="1"/>
  <c r="F40" i="2" s="1"/>
  <c r="G41" i="2" s="1"/>
  <c r="H42" i="2" s="1"/>
  <c r="I43" i="2" s="1"/>
  <c r="J44" i="2" s="1"/>
  <c r="K45" i="2" s="1"/>
  <c r="B47" i="2"/>
  <c r="D46" i="2"/>
  <c r="H46" i="2"/>
  <c r="Q45" i="2"/>
  <c r="D45" i="2"/>
  <c r="H45" i="2"/>
  <c r="R41" i="2"/>
  <c r="Q40" i="2"/>
  <c r="J27" i="1"/>
  <c r="Z14" i="2"/>
  <c r="C11" i="13"/>
  <c r="AI32" i="13" s="1"/>
  <c r="C32" i="13" s="1"/>
  <c r="K60" i="1"/>
  <c r="I59" i="1"/>
  <c r="B73" i="2"/>
  <c r="C42" i="2"/>
  <c r="D43" i="2" s="1"/>
  <c r="E44" i="2" s="1"/>
  <c r="G59" i="1"/>
  <c r="I60" i="1"/>
  <c r="K19" i="1"/>
  <c r="Z43" i="2"/>
  <c r="K24" i="13" s="1"/>
  <c r="F51" i="1"/>
  <c r="I27" i="1"/>
  <c r="Z39" i="2"/>
  <c r="G24" i="13" s="1"/>
  <c r="G28" i="1"/>
  <c r="G27" i="1"/>
  <c r="H28" i="1"/>
  <c r="K51" i="1"/>
  <c r="G52" i="1"/>
  <c r="Z42" i="2"/>
  <c r="J24" i="13" s="1"/>
  <c r="Z38" i="2"/>
  <c r="F24" i="13" s="1"/>
  <c r="Z36" i="2"/>
  <c r="D24" i="13" s="1"/>
  <c r="Z41" i="2"/>
  <c r="I24" i="13" s="1"/>
  <c r="H20" i="1"/>
  <c r="Z44" i="2"/>
  <c r="L24" i="13" s="1"/>
  <c r="Z40" i="2"/>
  <c r="H24" i="13" s="1"/>
  <c r="E59" i="7"/>
  <c r="F95" i="1" s="1"/>
  <c r="G95" i="1" s="1"/>
  <c r="H95" i="1" s="1"/>
  <c r="F131" i="7"/>
  <c r="F101" i="7"/>
  <c r="F102" i="1" s="1"/>
  <c r="G102" i="1" s="1"/>
  <c r="H102" i="1" s="1"/>
  <c r="I102" i="1" s="1"/>
  <c r="J102" i="1" s="1"/>
  <c r="K102" i="1" s="1"/>
  <c r="L102" i="1" s="1"/>
  <c r="L115" i="1"/>
  <c r="L119" i="1" s="1"/>
  <c r="K119" i="1"/>
  <c r="F158" i="1"/>
  <c r="G156" i="1"/>
  <c r="H156" i="1" s="1"/>
  <c r="I156" i="1" s="1"/>
  <c r="J156" i="1" s="1"/>
  <c r="K156" i="1" s="1"/>
  <c r="L156" i="1" s="1"/>
  <c r="H111" i="1"/>
  <c r="G113" i="1"/>
  <c r="G153" i="1"/>
  <c r="H145" i="1"/>
  <c r="E50" i="7"/>
  <c r="F96" i="1" s="1"/>
  <c r="G96" i="1" s="1"/>
  <c r="H96" i="1" s="1"/>
  <c r="I96" i="1" s="1"/>
  <c r="J96" i="1" s="1"/>
  <c r="K96" i="1" s="1"/>
  <c r="L96" i="1" s="1"/>
  <c r="F117" i="7"/>
  <c r="F103" i="1" s="1"/>
  <c r="G103" i="1" s="1"/>
  <c r="H103" i="1" s="1"/>
  <c r="I103" i="1" s="1"/>
  <c r="J103" i="1" s="1"/>
  <c r="K103" i="1" s="1"/>
  <c r="L103" i="1" s="1"/>
  <c r="D29" i="7"/>
  <c r="F92" i="1" s="1"/>
  <c r="G92" i="1" s="1"/>
  <c r="H92" i="1" s="1"/>
  <c r="I92" i="1" s="1"/>
  <c r="J92" i="1" s="1"/>
  <c r="K92" i="1" s="1"/>
  <c r="L92" i="1" s="1"/>
  <c r="F124" i="7"/>
  <c r="F108" i="1" s="1"/>
  <c r="G108" i="1" s="1"/>
  <c r="H108" i="1" s="1"/>
  <c r="I108" i="1" s="1"/>
  <c r="J108" i="1" s="1"/>
  <c r="K108" i="1" s="1"/>
  <c r="L108" i="1" s="1"/>
  <c r="D164" i="7"/>
  <c r="E197" i="7"/>
  <c r="F113" i="1"/>
  <c r="F184" i="7"/>
  <c r="E205" i="7"/>
  <c r="G43" i="1"/>
  <c r="G20" i="1"/>
  <c r="Q35" i="2"/>
  <c r="Q44" i="2"/>
  <c r="Q43" i="2"/>
  <c r="Q38" i="2"/>
  <c r="R42" i="2"/>
  <c r="Q39" i="2"/>
  <c r="K27" i="1"/>
  <c r="L19" i="1"/>
  <c r="S44" i="2"/>
  <c r="R40" i="2"/>
  <c r="F27" i="1"/>
  <c r="F43" i="1"/>
  <c r="E29" i="1"/>
  <c r="E21" i="1"/>
  <c r="E45" i="1"/>
  <c r="L27" i="1"/>
  <c r="H43" i="1"/>
  <c r="J19" i="1"/>
  <c r="J44" i="1"/>
  <c r="I19" i="1"/>
  <c r="F19" i="1"/>
  <c r="L43" i="1"/>
  <c r="I44" i="1"/>
  <c r="T11" i="2"/>
  <c r="U11" i="2" s="1"/>
  <c r="V11" i="2" s="1"/>
  <c r="W11" i="2" s="1"/>
  <c r="Q14" i="2"/>
  <c r="F31" i="1" s="1"/>
  <c r="H44" i="2"/>
  <c r="I45" i="2" s="1"/>
  <c r="S43" i="2"/>
  <c r="H43" i="2"/>
  <c r="S42" i="2"/>
  <c r="I119" i="1"/>
  <c r="J119" i="1"/>
  <c r="I143" i="1"/>
  <c r="J141" i="1"/>
  <c r="H127" i="1"/>
  <c r="H143" i="1"/>
  <c r="L140" i="1"/>
  <c r="H119" i="1"/>
  <c r="H155" i="1"/>
  <c r="G143" i="1"/>
  <c r="F67" i="7"/>
  <c r="F100" i="1" s="1"/>
  <c r="G119" i="1"/>
  <c r="E13" i="7"/>
  <c r="F82" i="1" s="1"/>
  <c r="F153" i="1"/>
  <c r="G12" i="7"/>
  <c r="G13" i="7" s="1"/>
  <c r="F143" i="1"/>
  <c r="F119" i="1"/>
  <c r="F13" i="7"/>
  <c r="F83" i="1" s="1"/>
  <c r="G83" i="1" s="1"/>
  <c r="H83" i="1" s="1"/>
  <c r="I83" i="1" s="1"/>
  <c r="J83" i="1" s="1"/>
  <c r="K83" i="1" s="1"/>
  <c r="L83" i="1" s="1"/>
  <c r="K89" i="1"/>
  <c r="O14" i="12"/>
  <c r="H11" i="1"/>
  <c r="H13" i="16" s="1"/>
  <c r="C9" i="13"/>
  <c r="B88" i="2"/>
  <c r="Q12" i="2"/>
  <c r="B33" i="2"/>
  <c r="B19" i="2"/>
  <c r="S95" i="2" l="1"/>
  <c r="T95" i="2" s="1"/>
  <c r="T94" i="2"/>
  <c r="I70" i="1" s="1"/>
  <c r="F138" i="1"/>
  <c r="D73" i="2"/>
  <c r="D19" i="2"/>
  <c r="X29" i="14"/>
  <c r="W29" i="14"/>
  <c r="U29" i="14"/>
  <c r="E9" i="13"/>
  <c r="D59" i="2"/>
  <c r="D80" i="2"/>
  <c r="D33" i="2"/>
  <c r="R12" i="2"/>
  <c r="R59" i="2" s="1"/>
  <c r="D52" i="2"/>
  <c r="AQ35" i="13"/>
  <c r="C34" i="13"/>
  <c r="E34" i="13"/>
  <c r="D37" i="2"/>
  <c r="C75" i="2"/>
  <c r="Q75" i="2" s="1"/>
  <c r="F37" i="1" s="1"/>
  <c r="H13" i="15"/>
  <c r="G138" i="1"/>
  <c r="Q54" i="2"/>
  <c r="F33" i="1" s="1"/>
  <c r="D54" i="2"/>
  <c r="D23" i="13" s="1"/>
  <c r="D25" i="13" s="1"/>
  <c r="S41" i="2"/>
  <c r="E54" i="2"/>
  <c r="E23" i="13" s="1"/>
  <c r="E25" i="13" s="1"/>
  <c r="R14" i="2"/>
  <c r="G31" i="1" s="1"/>
  <c r="AL32" i="13"/>
  <c r="AT32" i="13"/>
  <c r="B64" i="2"/>
  <c r="B61" i="2"/>
  <c r="B65" i="2"/>
  <c r="B62" i="2"/>
  <c r="B63" i="2"/>
  <c r="E36" i="2"/>
  <c r="I95" i="1"/>
  <c r="J95" i="1" s="1"/>
  <c r="Q37" i="2"/>
  <c r="R39" i="2"/>
  <c r="L46" i="2"/>
  <c r="J46" i="2"/>
  <c r="C47" i="2"/>
  <c r="E46" i="2"/>
  <c r="R45" i="2"/>
  <c r="F45" i="2"/>
  <c r="I46" i="2"/>
  <c r="T46" i="2" s="1"/>
  <c r="T45" i="2"/>
  <c r="R43" i="2"/>
  <c r="Q36" i="2"/>
  <c r="D12" i="13"/>
  <c r="AT33" i="13" s="1"/>
  <c r="D33" i="13" s="1"/>
  <c r="Q42" i="2"/>
  <c r="R44" i="2"/>
  <c r="F36" i="2"/>
  <c r="G158" i="1"/>
  <c r="I145" i="1"/>
  <c r="H153" i="1"/>
  <c r="H113" i="1"/>
  <c r="I111" i="1"/>
  <c r="H138" i="1"/>
  <c r="I127" i="1"/>
  <c r="K141" i="1"/>
  <c r="J143" i="1"/>
  <c r="H158" i="1"/>
  <c r="I155" i="1"/>
  <c r="T43" i="2"/>
  <c r="I44" i="2"/>
  <c r="T44" i="2" s="1"/>
  <c r="G100" i="1"/>
  <c r="F109" i="1"/>
  <c r="G82" i="1"/>
  <c r="F12" i="2"/>
  <c r="I11" i="1"/>
  <c r="I13" i="16" s="1"/>
  <c r="Q80" i="2"/>
  <c r="Q73" i="2"/>
  <c r="Q33" i="2"/>
  <c r="Q19" i="2"/>
  <c r="Q52" i="2"/>
  <c r="Q59" i="2"/>
  <c r="Q88" i="2"/>
  <c r="H71" i="1" l="1"/>
  <c r="U94" i="2"/>
  <c r="R52" i="2"/>
  <c r="R80" i="2"/>
  <c r="R19" i="2"/>
  <c r="R73" i="2"/>
  <c r="R33" i="2"/>
  <c r="R88" i="2"/>
  <c r="Y32" i="13"/>
  <c r="W32" i="13"/>
  <c r="AC32" i="13"/>
  <c r="I32" i="13"/>
  <c r="Q32" i="13"/>
  <c r="S32" i="13"/>
  <c r="M32" i="13"/>
  <c r="G32" i="13"/>
  <c r="O32" i="13"/>
  <c r="E32" i="13"/>
  <c r="AA32" i="13"/>
  <c r="K32" i="13"/>
  <c r="U32" i="13"/>
  <c r="AB32" i="13"/>
  <c r="L32" i="13"/>
  <c r="V32" i="13"/>
  <c r="T32" i="13"/>
  <c r="AD32" i="13"/>
  <c r="P32" i="13"/>
  <c r="Z32" i="13"/>
  <c r="X32" i="13"/>
  <c r="H32" i="13"/>
  <c r="R32" i="13"/>
  <c r="J32" i="13"/>
  <c r="N32" i="13"/>
  <c r="F32" i="13"/>
  <c r="AQ36" i="13"/>
  <c r="E35" i="13"/>
  <c r="C35" i="13"/>
  <c r="G35" i="13"/>
  <c r="X37" i="14"/>
  <c r="V37" i="14"/>
  <c r="U37" i="14"/>
  <c r="W37" i="14"/>
  <c r="F37" i="2"/>
  <c r="G38" i="2" s="1"/>
  <c r="H39" i="2" s="1"/>
  <c r="I40" i="2" s="1"/>
  <c r="J41" i="2" s="1"/>
  <c r="K42" i="2" s="1"/>
  <c r="L43" i="2" s="1"/>
  <c r="M44" i="2" s="1"/>
  <c r="N45" i="2" s="1"/>
  <c r="O46" i="2" s="1"/>
  <c r="G37" i="2"/>
  <c r="H38" i="2" s="1"/>
  <c r="I39" i="2" s="1"/>
  <c r="J40" i="2" s="1"/>
  <c r="K41" i="2" s="1"/>
  <c r="L42" i="2" s="1"/>
  <c r="M43" i="2" s="1"/>
  <c r="N44" i="2" s="1"/>
  <c r="O45" i="2" s="1"/>
  <c r="E38" i="2"/>
  <c r="F39" i="2" s="1"/>
  <c r="G40" i="2" s="1"/>
  <c r="H41" i="2" s="1"/>
  <c r="D75" i="2"/>
  <c r="I13" i="15"/>
  <c r="F45" i="1"/>
  <c r="F53" i="1"/>
  <c r="F21" i="1"/>
  <c r="G172" i="1"/>
  <c r="R54" i="2"/>
  <c r="G33" i="1" s="1"/>
  <c r="R35" i="2"/>
  <c r="D32" i="13"/>
  <c r="J13" i="14"/>
  <c r="J15" i="14" s="1"/>
  <c r="L13" i="14"/>
  <c r="L15" i="14" s="1"/>
  <c r="K13" i="14"/>
  <c r="K15" i="14" s="1"/>
  <c r="I13" i="14"/>
  <c r="I15" i="14" s="1"/>
  <c r="C7" i="1"/>
  <c r="AI33" i="13"/>
  <c r="AL33" i="13"/>
  <c r="C62" i="2"/>
  <c r="Q62" i="2" s="1"/>
  <c r="C63" i="2"/>
  <c r="Q63" i="2" s="1"/>
  <c r="C65" i="2"/>
  <c r="Q65" i="2" s="1"/>
  <c r="C64" i="2"/>
  <c r="Q64" i="2" s="1"/>
  <c r="C61" i="2"/>
  <c r="Q61" i="2" s="1"/>
  <c r="R46" i="2"/>
  <c r="F54" i="2"/>
  <c r="F23" i="13" s="1"/>
  <c r="F25" i="13" s="1"/>
  <c r="Q47" i="2"/>
  <c r="F32" i="1" s="1"/>
  <c r="D47" i="2"/>
  <c r="J45" i="2"/>
  <c r="G46" i="2"/>
  <c r="S45" i="2"/>
  <c r="I71" i="1"/>
  <c r="E13" i="13"/>
  <c r="AL34" i="13" s="1"/>
  <c r="R37" i="2"/>
  <c r="S14" i="2"/>
  <c r="H31" i="1" s="1"/>
  <c r="G36" i="2"/>
  <c r="U95" i="2"/>
  <c r="V95" i="2" s="1"/>
  <c r="K71" i="1" s="1"/>
  <c r="B146" i="7"/>
  <c r="E146" i="7" s="1"/>
  <c r="Q67" i="2"/>
  <c r="Q66" i="2"/>
  <c r="C225" i="7"/>
  <c r="E225" i="7" s="1"/>
  <c r="I113" i="1"/>
  <c r="J111" i="1"/>
  <c r="I153" i="1"/>
  <c r="J145" i="1"/>
  <c r="L141" i="1"/>
  <c r="L143" i="1" s="1"/>
  <c r="K143" i="1"/>
  <c r="R36" i="2"/>
  <c r="I138" i="1"/>
  <c r="J127" i="1"/>
  <c r="K95" i="1"/>
  <c r="H82" i="1"/>
  <c r="H100" i="1"/>
  <c r="G109" i="1"/>
  <c r="J155" i="1"/>
  <c r="I158" i="1"/>
  <c r="J11" i="1"/>
  <c r="J13" i="16" s="1"/>
  <c r="H12" i="2"/>
  <c r="F80" i="2"/>
  <c r="F88" i="2"/>
  <c r="F73" i="2"/>
  <c r="F19" i="2"/>
  <c r="S12" i="2"/>
  <c r="F52" i="2"/>
  <c r="F59" i="2"/>
  <c r="G9" i="13"/>
  <c r="F33" i="2"/>
  <c r="V94" i="2" l="1"/>
  <c r="J70" i="1"/>
  <c r="E47" i="2"/>
  <c r="E61" i="2" s="1"/>
  <c r="F35" i="1"/>
  <c r="G54" i="2"/>
  <c r="H172" i="1" s="1"/>
  <c r="AA33" i="13"/>
  <c r="W33" i="13"/>
  <c r="S33" i="13"/>
  <c r="O33" i="13"/>
  <c r="K33" i="13"/>
  <c r="G33" i="13"/>
  <c r="AC33" i="13"/>
  <c r="X33" i="13"/>
  <c r="R33" i="13"/>
  <c r="M33" i="13"/>
  <c r="H33" i="13"/>
  <c r="U33" i="13"/>
  <c r="AD33" i="13"/>
  <c r="T33" i="13"/>
  <c r="AB33" i="13"/>
  <c r="V33" i="13"/>
  <c r="Q33" i="13"/>
  <c r="L33" i="13"/>
  <c r="Z33" i="13"/>
  <c r="P33" i="13"/>
  <c r="I33" i="13"/>
  <c r="J33" i="13"/>
  <c r="Y33" i="13"/>
  <c r="N33" i="13"/>
  <c r="I42" i="2"/>
  <c r="J43" i="2" s="1"/>
  <c r="K44" i="2" s="1"/>
  <c r="L45" i="2" s="1"/>
  <c r="M46" i="2" s="1"/>
  <c r="AQ37" i="13"/>
  <c r="C36" i="13"/>
  <c r="I36" i="13"/>
  <c r="E36" i="13"/>
  <c r="G36" i="13"/>
  <c r="W45" i="14"/>
  <c r="V45" i="14"/>
  <c r="X45" i="14"/>
  <c r="U45" i="14"/>
  <c r="E75" i="2"/>
  <c r="R75" i="2" s="1"/>
  <c r="G37" i="1" s="1"/>
  <c r="F75" i="2"/>
  <c r="H37" i="2"/>
  <c r="I38" i="2" s="1"/>
  <c r="J39" i="2" s="1"/>
  <c r="K40" i="2" s="1"/>
  <c r="L41" i="2" s="1"/>
  <c r="M42" i="2" s="1"/>
  <c r="N43" i="2" s="1"/>
  <c r="O44" i="2" s="1"/>
  <c r="G75" i="2"/>
  <c r="J13" i="15"/>
  <c r="F33" i="13"/>
  <c r="E33" i="13"/>
  <c r="I21" i="14"/>
  <c r="I23" i="14" s="1"/>
  <c r="J21" i="14"/>
  <c r="J23" i="14" s="1"/>
  <c r="L21" i="14"/>
  <c r="L23" i="14" s="1"/>
  <c r="K21" i="14"/>
  <c r="K23" i="14" s="1"/>
  <c r="AI34" i="13"/>
  <c r="AT34" i="13"/>
  <c r="D61" i="2"/>
  <c r="D65" i="2"/>
  <c r="D62" i="2"/>
  <c r="D64" i="2"/>
  <c r="D63" i="2"/>
  <c r="S46" i="2"/>
  <c r="H54" i="2"/>
  <c r="F36" i="1"/>
  <c r="K46" i="2"/>
  <c r="U45" i="2"/>
  <c r="W95" i="2"/>
  <c r="L71" i="1" s="1"/>
  <c r="J71" i="1"/>
  <c r="F14" i="13"/>
  <c r="F47" i="2"/>
  <c r="R38" i="2"/>
  <c r="R47" i="2" s="1"/>
  <c r="G32" i="1" s="1"/>
  <c r="G124" i="1"/>
  <c r="Q68" i="2"/>
  <c r="F34" i="1" s="1"/>
  <c r="H36" i="2"/>
  <c r="F175" i="1"/>
  <c r="F179" i="1" s="1"/>
  <c r="E229" i="7"/>
  <c r="F122" i="1"/>
  <c r="F125" i="1" s="1"/>
  <c r="E149" i="7"/>
  <c r="K111" i="1"/>
  <c r="J113" i="1"/>
  <c r="J153" i="1"/>
  <c r="K145" i="1"/>
  <c r="K155" i="1"/>
  <c r="J158" i="1"/>
  <c r="K127" i="1"/>
  <c r="J138" i="1"/>
  <c r="I82" i="1"/>
  <c r="L95" i="1"/>
  <c r="I100" i="1"/>
  <c r="H109" i="1"/>
  <c r="H19" i="2"/>
  <c r="H33" i="2"/>
  <c r="H52" i="2"/>
  <c r="T12" i="2"/>
  <c r="H80" i="2"/>
  <c r="H88" i="2"/>
  <c r="H59" i="2"/>
  <c r="H73" i="2"/>
  <c r="I9" i="13"/>
  <c r="K11" i="1"/>
  <c r="K13" i="16" s="1"/>
  <c r="J12" i="2"/>
  <c r="S33" i="2"/>
  <c r="S88" i="2"/>
  <c r="S19" i="2"/>
  <c r="S80" i="2"/>
  <c r="S59" i="2"/>
  <c r="S73" i="2"/>
  <c r="S52" i="2"/>
  <c r="E64" i="2" l="1"/>
  <c r="R64" i="2" s="1"/>
  <c r="E62" i="2"/>
  <c r="R62" i="2" s="1"/>
  <c r="E63" i="2"/>
  <c r="R63" i="2" s="1"/>
  <c r="E65" i="2"/>
  <c r="R65" i="2" s="1"/>
  <c r="K70" i="1"/>
  <c r="W94" i="2"/>
  <c r="L70" i="1" s="1"/>
  <c r="S54" i="2"/>
  <c r="H33" i="1" s="1"/>
  <c r="G23" i="13"/>
  <c r="G25" i="13" s="1"/>
  <c r="I54" i="2"/>
  <c r="I23" i="13" s="1"/>
  <c r="I25" i="13" s="1"/>
  <c r="F34" i="13"/>
  <c r="D34" i="13"/>
  <c r="AC34" i="13"/>
  <c r="Y34" i="13"/>
  <c r="U34" i="13"/>
  <c r="Q34" i="13"/>
  <c r="M34" i="13"/>
  <c r="I34" i="13"/>
  <c r="AB34" i="13"/>
  <c r="W34" i="13"/>
  <c r="R34" i="13"/>
  <c r="L34" i="13"/>
  <c r="T34" i="13"/>
  <c r="O34" i="13"/>
  <c r="AD34" i="13"/>
  <c r="AA34" i="13"/>
  <c r="V34" i="13"/>
  <c r="P34" i="13"/>
  <c r="K34" i="13"/>
  <c r="X34" i="13"/>
  <c r="N34" i="13"/>
  <c r="Z34" i="13"/>
  <c r="J34" i="13"/>
  <c r="S34" i="13"/>
  <c r="AQ38" i="13"/>
  <c r="C37" i="13"/>
  <c r="I37" i="13"/>
  <c r="K37" i="13"/>
  <c r="G37" i="13"/>
  <c r="E37" i="13"/>
  <c r="X53" i="14"/>
  <c r="V53" i="14"/>
  <c r="U53" i="14"/>
  <c r="W53" i="14"/>
  <c r="I37" i="2"/>
  <c r="H75" i="2"/>
  <c r="K13" i="15"/>
  <c r="G45" i="1"/>
  <c r="G53" i="1"/>
  <c r="G21" i="1"/>
  <c r="AI35" i="13"/>
  <c r="I35" i="13" s="1"/>
  <c r="AT35" i="13"/>
  <c r="AL35" i="13"/>
  <c r="H34" i="13"/>
  <c r="G34" i="13"/>
  <c r="F63" i="2"/>
  <c r="F64" i="2"/>
  <c r="F65" i="2"/>
  <c r="F62" i="2"/>
  <c r="F61" i="2"/>
  <c r="I29" i="14"/>
  <c r="I31" i="14" s="1"/>
  <c r="L29" i="14"/>
  <c r="L31" i="14" s="1"/>
  <c r="K29" i="14"/>
  <c r="K31" i="14" s="1"/>
  <c r="J29" i="14"/>
  <c r="J31" i="14" s="1"/>
  <c r="U46" i="2"/>
  <c r="F73" i="1"/>
  <c r="G35" i="1"/>
  <c r="R61" i="2"/>
  <c r="R67" i="2"/>
  <c r="R66" i="2"/>
  <c r="S36" i="2"/>
  <c r="G122" i="1"/>
  <c r="G125" i="1" s="1"/>
  <c r="G175" i="1"/>
  <c r="G179" i="1" s="1"/>
  <c r="S39" i="2"/>
  <c r="G15" i="13"/>
  <c r="S35" i="2"/>
  <c r="I36" i="2"/>
  <c r="T14" i="2"/>
  <c r="I31" i="1" s="1"/>
  <c r="S37" i="2"/>
  <c r="K153" i="1"/>
  <c r="L145" i="1"/>
  <c r="L153" i="1" s="1"/>
  <c r="K113" i="1"/>
  <c r="L111" i="1"/>
  <c r="L113" i="1" s="1"/>
  <c r="K158" i="1"/>
  <c r="L155" i="1"/>
  <c r="L158" i="1" s="1"/>
  <c r="J100" i="1"/>
  <c r="I109" i="1"/>
  <c r="S38" i="2"/>
  <c r="J82" i="1"/>
  <c r="K138" i="1"/>
  <c r="L127" i="1"/>
  <c r="L138" i="1" s="1"/>
  <c r="L12" i="2"/>
  <c r="M9" i="13" s="1"/>
  <c r="L11" i="1"/>
  <c r="L13" i="16" s="1"/>
  <c r="U12" i="2"/>
  <c r="K9" i="13"/>
  <c r="J73" i="2"/>
  <c r="J52" i="2"/>
  <c r="J59" i="2"/>
  <c r="J80" i="2"/>
  <c r="J19" i="2"/>
  <c r="J33" i="2"/>
  <c r="J88" i="2"/>
  <c r="T33" i="2"/>
  <c r="T52" i="2"/>
  <c r="T80" i="2"/>
  <c r="T59" i="2"/>
  <c r="T73" i="2"/>
  <c r="T88" i="2"/>
  <c r="T19" i="2"/>
  <c r="F186" i="1" l="1"/>
  <c r="F187" i="1" s="1"/>
  <c r="T54" i="2"/>
  <c r="I33" i="1" s="1"/>
  <c r="I172" i="1"/>
  <c r="J38" i="2"/>
  <c r="K39" i="2" s="1"/>
  <c r="L40" i="2" s="1"/>
  <c r="M41" i="2" s="1"/>
  <c r="N42" i="2" s="1"/>
  <c r="O43" i="2" s="1"/>
  <c r="J54" i="2"/>
  <c r="H35" i="13"/>
  <c r="F35" i="13"/>
  <c r="D35" i="13"/>
  <c r="L37" i="14"/>
  <c r="L39" i="14" s="1"/>
  <c r="AB35" i="13"/>
  <c r="X35" i="13"/>
  <c r="T35" i="13"/>
  <c r="P35" i="13"/>
  <c r="L35" i="13"/>
  <c r="AC35" i="13"/>
  <c r="W35" i="13"/>
  <c r="R35" i="13"/>
  <c r="M35" i="13"/>
  <c r="Y35" i="13"/>
  <c r="AA35" i="13"/>
  <c r="V35" i="13"/>
  <c r="Q35" i="13"/>
  <c r="K35" i="13"/>
  <c r="AD35" i="13"/>
  <c r="N35" i="13"/>
  <c r="Z35" i="13"/>
  <c r="U35" i="13"/>
  <c r="O35" i="13"/>
  <c r="S35" i="13"/>
  <c r="AQ39" i="13"/>
  <c r="K38" i="13"/>
  <c r="C38" i="13"/>
  <c r="I38" i="13"/>
  <c r="M38" i="13"/>
  <c r="G38" i="13"/>
  <c r="E38" i="13"/>
  <c r="W61" i="14"/>
  <c r="V61" i="14"/>
  <c r="U61" i="14"/>
  <c r="X61" i="14"/>
  <c r="I37" i="14"/>
  <c r="I39" i="14" s="1"/>
  <c r="J37" i="2"/>
  <c r="I75" i="2"/>
  <c r="L13" i="15"/>
  <c r="C8" i="15" s="1"/>
  <c r="C8" i="16"/>
  <c r="K37" i="14"/>
  <c r="K39" i="14" s="1"/>
  <c r="J35" i="13"/>
  <c r="J37" i="14"/>
  <c r="J39" i="14" s="1"/>
  <c r="AI36" i="13"/>
  <c r="AL36" i="13"/>
  <c r="AT36" i="13"/>
  <c r="F181" i="1"/>
  <c r="F182" i="1"/>
  <c r="F183" i="1"/>
  <c r="G36" i="1"/>
  <c r="G47" i="2"/>
  <c r="R68" i="2"/>
  <c r="G34" i="1" s="1"/>
  <c r="H124" i="1"/>
  <c r="S75" i="2"/>
  <c r="H37" i="1" s="1"/>
  <c r="H16" i="13"/>
  <c r="H47" i="2"/>
  <c r="S40" i="2"/>
  <c r="S47" i="2" s="1"/>
  <c r="H32" i="1" s="1"/>
  <c r="T38" i="2"/>
  <c r="J36" i="2"/>
  <c r="T39" i="2"/>
  <c r="K82" i="1"/>
  <c r="K100" i="1"/>
  <c r="J109" i="1"/>
  <c r="N12" i="2"/>
  <c r="L33" i="2"/>
  <c r="L73" i="2"/>
  <c r="L52" i="2"/>
  <c r="L59" i="2"/>
  <c r="L80" i="2"/>
  <c r="V12" i="2"/>
  <c r="L88" i="2"/>
  <c r="L19" i="2"/>
  <c r="U88" i="2"/>
  <c r="U52" i="2"/>
  <c r="U80" i="2"/>
  <c r="U33" i="2"/>
  <c r="U73" i="2"/>
  <c r="U19" i="2"/>
  <c r="U59" i="2"/>
  <c r="K38" i="2" l="1"/>
  <c r="L39" i="2" s="1"/>
  <c r="M40" i="2" s="1"/>
  <c r="N41" i="2" s="1"/>
  <c r="O42" i="2" s="1"/>
  <c r="K54" i="2"/>
  <c r="J23" i="13"/>
  <c r="J25" i="13" s="1"/>
  <c r="H36" i="13"/>
  <c r="D36" i="13"/>
  <c r="F36" i="13"/>
  <c r="J36" i="13"/>
  <c r="I45" i="14"/>
  <c r="I47" i="14" s="1"/>
  <c r="N36" i="13"/>
  <c r="AB36" i="13"/>
  <c r="X36" i="13"/>
  <c r="T36" i="13"/>
  <c r="P36" i="13"/>
  <c r="M36" i="13"/>
  <c r="AC36" i="13"/>
  <c r="W36" i="13"/>
  <c r="R36" i="13"/>
  <c r="Y36" i="13"/>
  <c r="AA36" i="13"/>
  <c r="V36" i="13"/>
  <c r="Q36" i="13"/>
  <c r="AD36" i="13"/>
  <c r="Z36" i="13"/>
  <c r="U36" i="13"/>
  <c r="O36" i="13"/>
  <c r="S36" i="13"/>
  <c r="AQ40" i="13"/>
  <c r="G39" i="13"/>
  <c r="O39" i="13"/>
  <c r="P39" i="13" s="1"/>
  <c r="M39" i="13"/>
  <c r="N39" i="13" s="1"/>
  <c r="E39" i="13"/>
  <c r="F39" i="13" s="1"/>
  <c r="K39" i="13"/>
  <c r="L39" i="13" s="1"/>
  <c r="C39" i="13"/>
  <c r="D39" i="13" s="1"/>
  <c r="I39" i="13"/>
  <c r="X69" i="14"/>
  <c r="V69" i="14"/>
  <c r="U69" i="14"/>
  <c r="W69" i="14"/>
  <c r="K37" i="2"/>
  <c r="J75" i="2"/>
  <c r="H45" i="1"/>
  <c r="H53" i="1"/>
  <c r="L45" i="14"/>
  <c r="L47" i="14" s="1"/>
  <c r="H21" i="1"/>
  <c r="L36" i="13"/>
  <c r="J45" i="14"/>
  <c r="J47" i="14" s="1"/>
  <c r="K36" i="13"/>
  <c r="K45" i="14"/>
  <c r="K47" i="14" s="1"/>
  <c r="AI37" i="13"/>
  <c r="AT37" i="13"/>
  <c r="AL37" i="13"/>
  <c r="H61" i="2"/>
  <c r="H65" i="2"/>
  <c r="H62" i="2"/>
  <c r="H64" i="2"/>
  <c r="H63" i="2"/>
  <c r="G62" i="2"/>
  <c r="S62" i="2" s="1"/>
  <c r="G63" i="2"/>
  <c r="S63" i="2" s="1"/>
  <c r="G61" i="2"/>
  <c r="S61" i="2" s="1"/>
  <c r="G65" i="2"/>
  <c r="S65" i="2" s="1"/>
  <c r="G64" i="2"/>
  <c r="S64" i="2" s="1"/>
  <c r="G73" i="1"/>
  <c r="F184" i="1"/>
  <c r="H35" i="1"/>
  <c r="T36" i="2"/>
  <c r="S66" i="2"/>
  <c r="S67" i="2"/>
  <c r="K36" i="2"/>
  <c r="T37" i="2"/>
  <c r="H175" i="1"/>
  <c r="H179" i="1" s="1"/>
  <c r="H122" i="1"/>
  <c r="H125" i="1" s="1"/>
  <c r="I47" i="2"/>
  <c r="T41" i="2"/>
  <c r="I17" i="13"/>
  <c r="T35" i="2"/>
  <c r="L82" i="1"/>
  <c r="L100" i="1"/>
  <c r="L109" i="1" s="1"/>
  <c r="K109" i="1"/>
  <c r="T40" i="2"/>
  <c r="V19" i="2"/>
  <c r="V88" i="2"/>
  <c r="V52" i="2"/>
  <c r="V80" i="2"/>
  <c r="V33" i="2"/>
  <c r="V73" i="2"/>
  <c r="V59" i="2"/>
  <c r="N73" i="2"/>
  <c r="N19" i="2"/>
  <c r="N33" i="2"/>
  <c r="N88" i="2"/>
  <c r="N52" i="2"/>
  <c r="N59" i="2"/>
  <c r="N80" i="2"/>
  <c r="W12" i="2"/>
  <c r="G181" i="1" l="1"/>
  <c r="U54" i="2"/>
  <c r="J33" i="1" s="1"/>
  <c r="K23" i="13"/>
  <c r="K25" i="13" s="1"/>
  <c r="J172" i="1"/>
  <c r="L38" i="2"/>
  <c r="M39" i="2" s="1"/>
  <c r="N40" i="2" s="1"/>
  <c r="O41" i="2" s="1"/>
  <c r="L54" i="2"/>
  <c r="L53" i="14"/>
  <c r="L55" i="14" s="1"/>
  <c r="AB37" i="13"/>
  <c r="X37" i="13"/>
  <c r="T37" i="13"/>
  <c r="P37" i="13"/>
  <c r="AC37" i="13"/>
  <c r="W37" i="13"/>
  <c r="R37" i="13"/>
  <c r="Y37" i="13"/>
  <c r="AA37" i="13"/>
  <c r="V37" i="13"/>
  <c r="Q37" i="13"/>
  <c r="Z37" i="13"/>
  <c r="U37" i="13"/>
  <c r="O37" i="13"/>
  <c r="AD37" i="13"/>
  <c r="S37" i="13"/>
  <c r="AQ41" i="13"/>
  <c r="AQ42" i="13" s="1"/>
  <c r="K40" i="13"/>
  <c r="L40" i="13" s="1"/>
  <c r="C40" i="13"/>
  <c r="Q40" i="13"/>
  <c r="R40" i="13" s="1"/>
  <c r="I40" i="13"/>
  <c r="J40" i="13" s="1"/>
  <c r="M40" i="13"/>
  <c r="N40" i="13" s="1"/>
  <c r="O40" i="13"/>
  <c r="P40" i="13" s="1"/>
  <c r="G40" i="13"/>
  <c r="H40" i="13" s="1"/>
  <c r="E40" i="13"/>
  <c r="F40" i="13" s="1"/>
  <c r="W77" i="14"/>
  <c r="V77" i="14"/>
  <c r="U77" i="14"/>
  <c r="X77" i="14"/>
  <c r="J39" i="13"/>
  <c r="J37" i="13"/>
  <c r="F37" i="13"/>
  <c r="H37" i="13"/>
  <c r="D37" i="13"/>
  <c r="L37" i="13"/>
  <c r="H39" i="13"/>
  <c r="K53" i="14"/>
  <c r="K55" i="14" s="1"/>
  <c r="L37" i="2"/>
  <c r="M38" i="2" s="1"/>
  <c r="N39" i="2" s="1"/>
  <c r="O40" i="2" s="1"/>
  <c r="K75" i="2"/>
  <c r="M37" i="13"/>
  <c r="I53" i="14"/>
  <c r="I55" i="14" s="1"/>
  <c r="J53" i="14"/>
  <c r="J55" i="14" s="1"/>
  <c r="N37" i="13"/>
  <c r="AI38" i="13"/>
  <c r="AL38" i="13"/>
  <c r="AT38" i="13"/>
  <c r="I64" i="2"/>
  <c r="I61" i="2"/>
  <c r="I65" i="2"/>
  <c r="I63" i="2"/>
  <c r="I62" i="2"/>
  <c r="T75" i="2"/>
  <c r="I37" i="1" s="1"/>
  <c r="G183" i="1"/>
  <c r="G186" i="1"/>
  <c r="G187" i="1" s="1"/>
  <c r="G182" i="1"/>
  <c r="H36" i="1"/>
  <c r="S68" i="2"/>
  <c r="H34" i="1" s="1"/>
  <c r="I122" i="1"/>
  <c r="U14" i="2"/>
  <c r="J31" i="1" s="1"/>
  <c r="L36" i="2"/>
  <c r="U40" i="2"/>
  <c r="T42" i="2"/>
  <c r="T47" i="2" s="1"/>
  <c r="I32" i="1" s="1"/>
  <c r="J47" i="2"/>
  <c r="J18" i="13"/>
  <c r="I124" i="1"/>
  <c r="U38" i="2"/>
  <c r="U41" i="2"/>
  <c r="W88" i="2"/>
  <c r="W33" i="2"/>
  <c r="W19" i="2"/>
  <c r="W80" i="2"/>
  <c r="W59" i="2"/>
  <c r="W73" i="2"/>
  <c r="W52" i="2"/>
  <c r="M42" i="13" l="1"/>
  <c r="N42" i="13" s="1"/>
  <c r="K42" i="13"/>
  <c r="L42" i="13" s="1"/>
  <c r="U93" i="14"/>
  <c r="U42" i="13"/>
  <c r="V42" i="13" s="1"/>
  <c r="O42" i="13"/>
  <c r="P42" i="13" s="1"/>
  <c r="E42" i="13"/>
  <c r="F42" i="13" s="1"/>
  <c r="I42" i="13"/>
  <c r="J42" i="13" s="1"/>
  <c r="V93" i="14"/>
  <c r="S42" i="13"/>
  <c r="T42" i="13" s="1"/>
  <c r="AQ43" i="13"/>
  <c r="AQ44" i="13" s="1"/>
  <c r="G42" i="13"/>
  <c r="H42" i="13" s="1"/>
  <c r="Q42" i="13"/>
  <c r="R42" i="13" s="1"/>
  <c r="C42" i="13"/>
  <c r="D42" i="13" s="1"/>
  <c r="W93" i="14"/>
  <c r="X93" i="14"/>
  <c r="H38" i="13"/>
  <c r="F38" i="13"/>
  <c r="L38" i="13"/>
  <c r="D38" i="13"/>
  <c r="N38" i="13"/>
  <c r="J38" i="13"/>
  <c r="D40" i="13"/>
  <c r="L61" i="14"/>
  <c r="L63" i="14" s="1"/>
  <c r="AB38" i="13"/>
  <c r="X38" i="13"/>
  <c r="T38" i="13"/>
  <c r="AA38" i="13"/>
  <c r="Q38" i="13"/>
  <c r="AC38" i="13"/>
  <c r="V38" i="13"/>
  <c r="R38" i="13"/>
  <c r="AD38" i="13"/>
  <c r="Z38" i="13"/>
  <c r="U38" i="13"/>
  <c r="W38" i="13"/>
  <c r="Y38" i="13"/>
  <c r="S38" i="13"/>
  <c r="S41" i="13"/>
  <c r="T41" i="13" s="1"/>
  <c r="K41" i="13"/>
  <c r="C41" i="13"/>
  <c r="D41" i="13" s="1"/>
  <c r="Q41" i="13"/>
  <c r="R41" i="13" s="1"/>
  <c r="I41" i="13"/>
  <c r="J41" i="13" s="1"/>
  <c r="M41" i="13"/>
  <c r="N41" i="13" s="1"/>
  <c r="G41" i="13"/>
  <c r="E41" i="13"/>
  <c r="O41" i="13"/>
  <c r="P41" i="13" s="1"/>
  <c r="W85" i="14"/>
  <c r="V85" i="14"/>
  <c r="U85" i="14"/>
  <c r="X85" i="14"/>
  <c r="M37" i="2"/>
  <c r="N38" i="2" s="1"/>
  <c r="O39" i="2" s="1"/>
  <c r="L75" i="2"/>
  <c r="I45" i="1"/>
  <c r="I53" i="1"/>
  <c r="J61" i="14"/>
  <c r="J63" i="14" s="1"/>
  <c r="I21" i="1"/>
  <c r="K61" i="14"/>
  <c r="K63" i="14" s="1"/>
  <c r="AI39" i="13"/>
  <c r="AT39" i="13"/>
  <c r="AL39" i="13"/>
  <c r="P38" i="13"/>
  <c r="O38" i="13"/>
  <c r="I61" i="14"/>
  <c r="I63" i="14" s="1"/>
  <c r="H73" i="1"/>
  <c r="G184" i="1"/>
  <c r="J63" i="2"/>
  <c r="J64" i="2"/>
  <c r="J62" i="2"/>
  <c r="J61" i="2"/>
  <c r="J65" i="2"/>
  <c r="I125" i="1"/>
  <c r="I36" i="1"/>
  <c r="T64" i="2"/>
  <c r="T66" i="2"/>
  <c r="T61" i="2"/>
  <c r="I175" i="1"/>
  <c r="I179" i="1" s="1"/>
  <c r="T65" i="2"/>
  <c r="T62" i="2"/>
  <c r="T67" i="2"/>
  <c r="T63" i="2"/>
  <c r="U43" i="2"/>
  <c r="K19" i="13"/>
  <c r="U35" i="2"/>
  <c r="U36" i="2"/>
  <c r="U39" i="2"/>
  <c r="M36" i="2"/>
  <c r="V14" i="2"/>
  <c r="K31" i="1" s="1"/>
  <c r="U37" i="2"/>
  <c r="U42" i="2"/>
  <c r="H186" i="1" l="1"/>
  <c r="H187" i="1" s="1"/>
  <c r="E43" i="13"/>
  <c r="F43" i="13" s="1"/>
  <c r="W43" i="13"/>
  <c r="X43" i="13" s="1"/>
  <c r="O43" i="13"/>
  <c r="P43" i="13" s="1"/>
  <c r="X101" i="14"/>
  <c r="X103" i="14" s="1"/>
  <c r="X95" i="14" s="1"/>
  <c r="X87" i="14" s="1"/>
  <c r="X79" i="14" s="1"/>
  <c r="X71" i="14" s="1"/>
  <c r="X63" i="14" s="1"/>
  <c r="X55" i="14" s="1"/>
  <c r="X47" i="14" s="1"/>
  <c r="X39" i="14" s="1"/>
  <c r="X31" i="14" s="1"/>
  <c r="X23" i="14" s="1"/>
  <c r="X15" i="14" s="1"/>
  <c r="S43" i="13"/>
  <c r="T43" i="13" s="1"/>
  <c r="G43" i="13"/>
  <c r="H43" i="13" s="1"/>
  <c r="U101" i="14"/>
  <c r="U103" i="14" s="1"/>
  <c r="U95" i="14" s="1"/>
  <c r="U87" i="14" s="1"/>
  <c r="U79" i="14" s="1"/>
  <c r="U71" i="14" s="1"/>
  <c r="U63" i="14" s="1"/>
  <c r="U55" i="14" s="1"/>
  <c r="U47" i="14" s="1"/>
  <c r="U39" i="14" s="1"/>
  <c r="U31" i="14" s="1"/>
  <c r="U23" i="14" s="1"/>
  <c r="U15" i="14" s="1"/>
  <c r="U43" i="13"/>
  <c r="V43" i="13" s="1"/>
  <c r="K43" i="13"/>
  <c r="L43" i="13" s="1"/>
  <c r="Q43" i="13"/>
  <c r="R43" i="13" s="1"/>
  <c r="W101" i="14"/>
  <c r="W103" i="14" s="1"/>
  <c r="W95" i="14" s="1"/>
  <c r="W87" i="14" s="1"/>
  <c r="W79" i="14" s="1"/>
  <c r="W71" i="14" s="1"/>
  <c r="W63" i="14" s="1"/>
  <c r="W55" i="14" s="1"/>
  <c r="W47" i="14" s="1"/>
  <c r="W39" i="14" s="1"/>
  <c r="W31" i="14" s="1"/>
  <c r="W23" i="14" s="1"/>
  <c r="W15" i="14" s="1"/>
  <c r="M43" i="13"/>
  <c r="N43" i="13" s="1"/>
  <c r="C43" i="13"/>
  <c r="D43" i="13" s="1"/>
  <c r="I43" i="13"/>
  <c r="J43" i="13" s="1"/>
  <c r="V101" i="14"/>
  <c r="V103" i="14" s="1"/>
  <c r="V95" i="14" s="1"/>
  <c r="V87" i="14" s="1"/>
  <c r="V79" i="14" s="1"/>
  <c r="V71" i="14" s="1"/>
  <c r="V63" i="14" s="1"/>
  <c r="V55" i="14" s="1"/>
  <c r="V47" i="14" s="1"/>
  <c r="V39" i="14" s="1"/>
  <c r="V31" i="14" s="1"/>
  <c r="V23" i="14" s="1"/>
  <c r="V15" i="14" s="1"/>
  <c r="L41" i="13"/>
  <c r="H41" i="13"/>
  <c r="L69" i="14"/>
  <c r="L71" i="14" s="1"/>
  <c r="AB39" i="13"/>
  <c r="X39" i="13"/>
  <c r="T39" i="13"/>
  <c r="AA39" i="13"/>
  <c r="W39" i="13"/>
  <c r="S39" i="13"/>
  <c r="Y39" i="13"/>
  <c r="AD39" i="13"/>
  <c r="V39" i="13"/>
  <c r="Z39" i="13"/>
  <c r="AC39" i="13"/>
  <c r="U39" i="13"/>
  <c r="F41" i="13"/>
  <c r="I69" i="14"/>
  <c r="I71" i="14" s="1"/>
  <c r="N37" i="2"/>
  <c r="O38" i="2" s="1"/>
  <c r="M75" i="2"/>
  <c r="Q39" i="13"/>
  <c r="J69" i="14"/>
  <c r="J71" i="14" s="1"/>
  <c r="H181" i="1"/>
  <c r="K69" i="14"/>
  <c r="K71" i="14" s="1"/>
  <c r="R39" i="13"/>
  <c r="AI40" i="13"/>
  <c r="AT40" i="13"/>
  <c r="AL40" i="13"/>
  <c r="H182" i="1"/>
  <c r="H183" i="1"/>
  <c r="I35" i="1"/>
  <c r="K47" i="2"/>
  <c r="U75" i="2"/>
  <c r="J37" i="1" s="1"/>
  <c r="T68" i="2"/>
  <c r="I34" i="1" s="1"/>
  <c r="J124" i="1"/>
  <c r="N36" i="2"/>
  <c r="V38" i="2"/>
  <c r="V40" i="2"/>
  <c r="L20" i="13"/>
  <c r="U44" i="2"/>
  <c r="U47" i="2" s="1"/>
  <c r="J32" i="1" s="1"/>
  <c r="V42" i="2"/>
  <c r="V43" i="2"/>
  <c r="K124" i="1"/>
  <c r="C44" i="13" l="1"/>
  <c r="C48" i="13" s="1"/>
  <c r="K44" i="13"/>
  <c r="K50" i="13" s="1"/>
  <c r="M44" i="13"/>
  <c r="M48" i="13" s="1"/>
  <c r="Q44" i="13"/>
  <c r="Q49" i="13" s="1"/>
  <c r="G44" i="13"/>
  <c r="G50" i="13" s="1"/>
  <c r="E44" i="13"/>
  <c r="E50" i="13" s="1"/>
  <c r="O44" i="13"/>
  <c r="O50" i="13" s="1"/>
  <c r="I44" i="13"/>
  <c r="I48" i="13" s="1"/>
  <c r="S40" i="13"/>
  <c r="S44" i="13" s="1"/>
  <c r="V40" i="13"/>
  <c r="AB40" i="13"/>
  <c r="X40" i="13"/>
  <c r="U40" i="13"/>
  <c r="AA40" i="13"/>
  <c r="W40" i="13"/>
  <c r="Y40" i="13"/>
  <c r="AD40" i="13"/>
  <c r="AC40" i="13"/>
  <c r="Z40" i="13"/>
  <c r="O37" i="2"/>
  <c r="N75" i="2"/>
  <c r="J45" i="1"/>
  <c r="J53" i="1"/>
  <c r="H184" i="1"/>
  <c r="J21" i="1"/>
  <c r="J77" i="14"/>
  <c r="J79" i="14" s="1"/>
  <c r="K77" i="14"/>
  <c r="K79" i="14" s="1"/>
  <c r="I77" i="14"/>
  <c r="I79" i="14" s="1"/>
  <c r="T40" i="13"/>
  <c r="L77" i="14"/>
  <c r="L79" i="14" s="1"/>
  <c r="AI41" i="13"/>
  <c r="AT41" i="13"/>
  <c r="AL41" i="13"/>
  <c r="I73" i="1"/>
  <c r="M54" i="2"/>
  <c r="V54" i="2" s="1"/>
  <c r="K33" i="1" s="1"/>
  <c r="M21" i="13"/>
  <c r="J175" i="1"/>
  <c r="J179" i="1" s="1"/>
  <c r="K62" i="2"/>
  <c r="U62" i="2" s="1"/>
  <c r="K63" i="2"/>
  <c r="U63" i="2" s="1"/>
  <c r="K65" i="2"/>
  <c r="U65" i="2" s="1"/>
  <c r="K64" i="2"/>
  <c r="U64" i="2" s="1"/>
  <c r="K61" i="2"/>
  <c r="U61" i="2" s="1"/>
  <c r="J122" i="1"/>
  <c r="J125" i="1" s="1"/>
  <c r="J35" i="1"/>
  <c r="L47" i="2"/>
  <c r="K122" i="1" s="1"/>
  <c r="K125" i="1" s="1"/>
  <c r="U67" i="2"/>
  <c r="V45" i="2"/>
  <c r="N22" i="13"/>
  <c r="L124" i="1"/>
  <c r="O54" i="2"/>
  <c r="W44" i="2"/>
  <c r="V41" i="2"/>
  <c r="V36" i="2"/>
  <c r="V37" i="2"/>
  <c r="V35" i="2"/>
  <c r="K172" i="1"/>
  <c r="L23" i="13"/>
  <c r="L25" i="13" s="1"/>
  <c r="V39" i="2"/>
  <c r="O36" i="2"/>
  <c r="V44" i="2"/>
  <c r="U66" i="2"/>
  <c r="I181" i="1" l="1"/>
  <c r="C49" i="13"/>
  <c r="C50" i="13"/>
  <c r="K49" i="13"/>
  <c r="K48" i="13"/>
  <c r="M49" i="13"/>
  <c r="M50" i="13"/>
  <c r="O48" i="13"/>
  <c r="Q48" i="13"/>
  <c r="G49" i="13"/>
  <c r="Q50" i="13"/>
  <c r="E49" i="13"/>
  <c r="G48" i="13"/>
  <c r="E48" i="13"/>
  <c r="I49" i="13"/>
  <c r="O49" i="13"/>
  <c r="I50" i="13"/>
  <c r="K85" i="14"/>
  <c r="K87" i="14" s="1"/>
  <c r="AB41" i="13"/>
  <c r="X41" i="13"/>
  <c r="AA41" i="13"/>
  <c r="W41" i="13"/>
  <c r="Y41" i="13"/>
  <c r="Z41" i="13"/>
  <c r="AD41" i="13"/>
  <c r="AC41" i="13"/>
  <c r="S48" i="13"/>
  <c r="O75" i="2"/>
  <c r="S50" i="13"/>
  <c r="S49" i="13"/>
  <c r="L85" i="14"/>
  <c r="L87" i="14" s="1"/>
  <c r="I85" i="14"/>
  <c r="I87" i="14" s="1"/>
  <c r="U41" i="13"/>
  <c r="J85" i="14"/>
  <c r="J87" i="14" s="1"/>
  <c r="V41" i="13"/>
  <c r="V45" i="13" s="1"/>
  <c r="I186" i="1"/>
  <c r="I187" i="1" s="1"/>
  <c r="AI42" i="13"/>
  <c r="J93" i="14" s="1"/>
  <c r="AL42" i="13"/>
  <c r="AT42" i="13"/>
  <c r="AI43" i="13"/>
  <c r="L101" i="14" s="1"/>
  <c r="AL43" i="13"/>
  <c r="AT43" i="13"/>
  <c r="I182" i="1"/>
  <c r="I183" i="1"/>
  <c r="L172" i="1"/>
  <c r="V75" i="2"/>
  <c r="K37" i="1" s="1"/>
  <c r="W14" i="2"/>
  <c r="L31" i="1" s="1"/>
  <c r="L61" i="2"/>
  <c r="L65" i="2"/>
  <c r="L62" i="2"/>
  <c r="L64" i="2"/>
  <c r="L63" i="2"/>
  <c r="M47" i="2"/>
  <c r="L175" i="1" s="1"/>
  <c r="J36" i="1"/>
  <c r="V66" i="2"/>
  <c r="E37" i="1"/>
  <c r="K175" i="1"/>
  <c r="K179" i="1" s="1"/>
  <c r="V46" i="2"/>
  <c r="V47" i="2" s="1"/>
  <c r="K32" i="1" s="1"/>
  <c r="N54" i="2"/>
  <c r="N47" i="2"/>
  <c r="U68" i="2"/>
  <c r="J34" i="1" s="1"/>
  <c r="W46" i="2"/>
  <c r="W45" i="2"/>
  <c r="W35" i="2"/>
  <c r="W39" i="2"/>
  <c r="W38" i="2"/>
  <c r="W43" i="2"/>
  <c r="W42" i="2"/>
  <c r="W37" i="2"/>
  <c r="W41" i="2"/>
  <c r="W40" i="2"/>
  <c r="V67" i="2"/>
  <c r="W66" i="2"/>
  <c r="W67" i="2"/>
  <c r="M51" i="13" l="1"/>
  <c r="M52" i="13" s="1"/>
  <c r="C51" i="13"/>
  <c r="C52" i="13" s="1"/>
  <c r="O51" i="13"/>
  <c r="O52" i="13" s="1"/>
  <c r="K51" i="13"/>
  <c r="K52" i="13" s="1"/>
  <c r="Q51" i="13"/>
  <c r="Q52" i="13" s="1"/>
  <c r="G51" i="13"/>
  <c r="G52" i="13" s="1"/>
  <c r="E51" i="13"/>
  <c r="E52" i="13" s="1"/>
  <c r="I51" i="13"/>
  <c r="I52" i="13" s="1"/>
  <c r="W42" i="13"/>
  <c r="W44" i="13" s="1"/>
  <c r="L93" i="14"/>
  <c r="L95" i="14" s="1"/>
  <c r="L103" i="14" s="1"/>
  <c r="I93" i="14"/>
  <c r="I95" i="14" s="1"/>
  <c r="AB43" i="13"/>
  <c r="AA43" i="13"/>
  <c r="AD43" i="13"/>
  <c r="AC43" i="13"/>
  <c r="K93" i="14"/>
  <c r="K95" i="14" s="1"/>
  <c r="AB42" i="13"/>
  <c r="AA42" i="13"/>
  <c r="AC42" i="13"/>
  <c r="Z42" i="13"/>
  <c r="Y42" i="13"/>
  <c r="AD42" i="13"/>
  <c r="F44" i="13"/>
  <c r="S51" i="13"/>
  <c r="S52" i="13" s="1"/>
  <c r="J95" i="14"/>
  <c r="K45" i="1"/>
  <c r="K53" i="1"/>
  <c r="U44" i="13"/>
  <c r="U45" i="13"/>
  <c r="I184" i="1"/>
  <c r="K21" i="1"/>
  <c r="Y43" i="13"/>
  <c r="Z43" i="13"/>
  <c r="J101" i="14"/>
  <c r="I101" i="14"/>
  <c r="AI44" i="13"/>
  <c r="K101" i="14"/>
  <c r="X42" i="13"/>
  <c r="J44" i="13"/>
  <c r="N44" i="13"/>
  <c r="V44" i="13"/>
  <c r="R44" i="13"/>
  <c r="T44" i="13"/>
  <c r="P44" i="13"/>
  <c r="L179" i="1"/>
  <c r="L122" i="1"/>
  <c r="L125" i="1" s="1"/>
  <c r="J73" i="1"/>
  <c r="J182" i="1" s="1"/>
  <c r="M64" i="2"/>
  <c r="V64" i="2" s="1"/>
  <c r="M61" i="2"/>
  <c r="V61" i="2" s="1"/>
  <c r="M65" i="2"/>
  <c r="V65" i="2" s="1"/>
  <c r="M63" i="2"/>
  <c r="V63" i="2" s="1"/>
  <c r="M62" i="2"/>
  <c r="V62" i="2" s="1"/>
  <c r="N63" i="2"/>
  <c r="N64" i="2"/>
  <c r="N65" i="2"/>
  <c r="N62" i="2"/>
  <c r="N61" i="2"/>
  <c r="W54" i="2"/>
  <c r="L33" i="1" s="1"/>
  <c r="N23" i="13"/>
  <c r="N25" i="13" s="1"/>
  <c r="W36" i="2"/>
  <c r="W47" i="2" s="1"/>
  <c r="L32" i="1" s="1"/>
  <c r="W75" i="2"/>
  <c r="L37" i="1" s="1"/>
  <c r="O47" i="2"/>
  <c r="K35" i="1"/>
  <c r="K36" i="1"/>
  <c r="AC44" i="13" l="1"/>
  <c r="AC49" i="13" s="1"/>
  <c r="J103" i="14"/>
  <c r="AB44" i="13"/>
  <c r="AA44" i="13"/>
  <c r="AA49" i="13" s="1"/>
  <c r="Y44" i="13"/>
  <c r="Y49" i="13" s="1"/>
  <c r="H44" i="13"/>
  <c r="H51" i="13" s="1"/>
  <c r="D44" i="13"/>
  <c r="D50" i="13" s="1"/>
  <c r="L44" i="13"/>
  <c r="L48" i="13" s="1"/>
  <c r="X44" i="13"/>
  <c r="W50" i="13"/>
  <c r="T51" i="13"/>
  <c r="K103" i="14"/>
  <c r="W48" i="13"/>
  <c r="AD44" i="13"/>
  <c r="L45" i="1"/>
  <c r="L53" i="1"/>
  <c r="Z44" i="13"/>
  <c r="U49" i="13"/>
  <c r="V49" i="13" s="1"/>
  <c r="V56" i="13" s="1"/>
  <c r="U48" i="13"/>
  <c r="V48" i="13" s="1"/>
  <c r="V55" i="13" s="1"/>
  <c r="U50" i="13"/>
  <c r="V50" i="13" s="1"/>
  <c r="V57" i="13" s="1"/>
  <c r="L21" i="1"/>
  <c r="W49" i="13"/>
  <c r="F49" i="13"/>
  <c r="F56" i="13" s="1"/>
  <c r="F48" i="13"/>
  <c r="F51" i="13"/>
  <c r="F50" i="13"/>
  <c r="F57" i="13" s="1"/>
  <c r="R49" i="13"/>
  <c r="R56" i="13" s="1"/>
  <c r="R50" i="13"/>
  <c r="R57" i="13" s="1"/>
  <c r="R48" i="13"/>
  <c r="R55" i="13" s="1"/>
  <c r="R51" i="13"/>
  <c r="T49" i="13"/>
  <c r="T56" i="13" s="1"/>
  <c r="T48" i="13"/>
  <c r="T55" i="13" s="1"/>
  <c r="T50" i="13"/>
  <c r="T57" i="13" s="1"/>
  <c r="P50" i="13"/>
  <c r="P48" i="13"/>
  <c r="P49" i="13"/>
  <c r="P51" i="13"/>
  <c r="N48" i="13"/>
  <c r="N49" i="13"/>
  <c r="N56" i="13" s="1"/>
  <c r="N50" i="13"/>
  <c r="N57" i="13" s="1"/>
  <c r="N51" i="13"/>
  <c r="J50" i="13"/>
  <c r="J57" i="13" s="1"/>
  <c r="J48" i="13"/>
  <c r="J49" i="13"/>
  <c r="J56" i="13" s="1"/>
  <c r="J51" i="13"/>
  <c r="I103" i="14"/>
  <c r="V68" i="2"/>
  <c r="K34" i="1" s="1"/>
  <c r="J181" i="1"/>
  <c r="J186" i="1"/>
  <c r="J187" i="1" s="1"/>
  <c r="J183" i="1"/>
  <c r="O62" i="2"/>
  <c r="W62" i="2" s="1"/>
  <c r="O63" i="2"/>
  <c r="W63" i="2" s="1"/>
  <c r="O61" i="2"/>
  <c r="W61" i="2" s="1"/>
  <c r="O65" i="2"/>
  <c r="W65" i="2" s="1"/>
  <c r="O64" i="2"/>
  <c r="W64" i="2" s="1"/>
  <c r="Y75" i="2"/>
  <c r="L36" i="1"/>
  <c r="L35" i="1"/>
  <c r="AA50" i="13" l="1"/>
  <c r="AB50" i="13" s="1"/>
  <c r="AB57" i="13" s="1"/>
  <c r="H50" i="13"/>
  <c r="H57" i="13" s="1"/>
  <c r="AB49" i="13"/>
  <c r="AB56" i="13" s="1"/>
  <c r="K73" i="1"/>
  <c r="Y48" i="13"/>
  <c r="Z48" i="13" s="1"/>
  <c r="Z55" i="13" s="1"/>
  <c r="H48" i="13"/>
  <c r="D21" i="9" s="1"/>
  <c r="D49" i="13"/>
  <c r="D56" i="13" s="1"/>
  <c r="AC45" i="13"/>
  <c r="D48" i="13"/>
  <c r="D20" i="9" s="1"/>
  <c r="L51" i="13"/>
  <c r="C36" i="7" s="1"/>
  <c r="E36" i="7" s="1"/>
  <c r="H49" i="13"/>
  <c r="H56" i="13" s="1"/>
  <c r="D51" i="13"/>
  <c r="C34" i="7" s="1"/>
  <c r="E34" i="7" s="1"/>
  <c r="X48" i="13"/>
  <c r="X55" i="13" s="1"/>
  <c r="X49" i="13"/>
  <c r="X56" i="13" s="1"/>
  <c r="X50" i="13"/>
  <c r="X57" i="13" s="1"/>
  <c r="L50" i="13"/>
  <c r="L57" i="13" s="1"/>
  <c r="L49" i="13"/>
  <c r="D12" i="9" s="1"/>
  <c r="AC50" i="13"/>
  <c r="AD50" i="13" s="1"/>
  <c r="AD57" i="13" s="1"/>
  <c r="Y50" i="13"/>
  <c r="Z50" i="13" s="1"/>
  <c r="Z57" i="13" s="1"/>
  <c r="AD49" i="13"/>
  <c r="AD56" i="13" s="1"/>
  <c r="AC48" i="13"/>
  <c r="AD48" i="13" s="1"/>
  <c r="AD55" i="13" s="1"/>
  <c r="AD45" i="13"/>
  <c r="AA48" i="13"/>
  <c r="AB48" i="13" s="1"/>
  <c r="AB55" i="13" s="1"/>
  <c r="Z49" i="13"/>
  <c r="Z56" i="13" s="1"/>
  <c r="U51" i="13"/>
  <c r="W51" i="13"/>
  <c r="X51" i="13" s="1"/>
  <c r="D14" i="9"/>
  <c r="E14" i="9" s="1"/>
  <c r="F14" i="9" s="1"/>
  <c r="G14" i="9" s="1"/>
  <c r="D24" i="9"/>
  <c r="E24" i="9" s="1"/>
  <c r="F24" i="9" s="1"/>
  <c r="G24" i="9" s="1"/>
  <c r="T52" i="13"/>
  <c r="R58" i="13"/>
  <c r="D34" i="9"/>
  <c r="H34" i="9" s="1"/>
  <c r="R52" i="13"/>
  <c r="P57" i="13"/>
  <c r="D33" i="9"/>
  <c r="C37" i="7"/>
  <c r="E37" i="7" s="1"/>
  <c r="L55" i="13"/>
  <c r="D22" i="9"/>
  <c r="D57" i="13"/>
  <c r="D30" i="9"/>
  <c r="J55" i="13"/>
  <c r="J58" i="13" s="1"/>
  <c r="J52" i="13"/>
  <c r="P56" i="13"/>
  <c r="D13" i="9"/>
  <c r="T58" i="13"/>
  <c r="F55" i="13"/>
  <c r="F58" i="13" s="1"/>
  <c r="F52" i="13"/>
  <c r="C35" i="7"/>
  <c r="E35" i="7" s="1"/>
  <c r="N55" i="13"/>
  <c r="N58" i="13" s="1"/>
  <c r="N52" i="13"/>
  <c r="P55" i="13"/>
  <c r="D23" i="9"/>
  <c r="P52" i="13"/>
  <c r="J184" i="1"/>
  <c r="W68" i="2"/>
  <c r="L34" i="1" s="1"/>
  <c r="V58" i="13"/>
  <c r="D31" i="9" l="1"/>
  <c r="H31" i="9" s="1"/>
  <c r="AB58" i="13"/>
  <c r="D55" i="13"/>
  <c r="D58" i="13" s="1"/>
  <c r="K186" i="1"/>
  <c r="K187" i="1" s="1"/>
  <c r="K183" i="1"/>
  <c r="K182" i="1"/>
  <c r="K181" i="1"/>
  <c r="L73" i="1"/>
  <c r="L74" i="1" s="1"/>
  <c r="D10" i="9"/>
  <c r="E10" i="9" s="1"/>
  <c r="H52" i="13"/>
  <c r="H55" i="13"/>
  <c r="H58" i="13" s="1"/>
  <c r="D11" i="9"/>
  <c r="H11" i="9" s="1"/>
  <c r="Y51" i="13"/>
  <c r="Z51" i="13" s="1"/>
  <c r="Z52" i="13" s="1"/>
  <c r="D52" i="13"/>
  <c r="X52" i="13"/>
  <c r="X58" i="13"/>
  <c r="D32" i="9"/>
  <c r="E32" i="9" s="1"/>
  <c r="L52" i="13"/>
  <c r="L56" i="13"/>
  <c r="L58" i="13" s="1"/>
  <c r="D36" i="9"/>
  <c r="E36" i="9" s="1"/>
  <c r="F36" i="9" s="1"/>
  <c r="G36" i="9" s="1"/>
  <c r="AD58" i="13"/>
  <c r="H24" i="9"/>
  <c r="D25" i="9"/>
  <c r="E25" i="9" s="1"/>
  <c r="K87" i="1" s="1"/>
  <c r="AC51" i="13"/>
  <c r="AD51" i="13" s="1"/>
  <c r="AD52" i="13" s="1"/>
  <c r="D16" i="9"/>
  <c r="E16" i="9" s="1"/>
  <c r="F16" i="9" s="1"/>
  <c r="G16" i="9" s="1"/>
  <c r="AA51" i="13"/>
  <c r="AB51" i="13" s="1"/>
  <c r="AB52" i="13" s="1"/>
  <c r="D26" i="9"/>
  <c r="H26" i="9" s="1"/>
  <c r="Z58" i="13"/>
  <c r="D15" i="9"/>
  <c r="E15" i="9" s="1"/>
  <c r="W52" i="13"/>
  <c r="D35" i="9"/>
  <c r="H35" i="9" s="1"/>
  <c r="E34" i="9"/>
  <c r="J88" i="1" s="1"/>
  <c r="G90" i="1"/>
  <c r="G97" i="1"/>
  <c r="G98" i="1" s="1"/>
  <c r="F90" i="1"/>
  <c r="F97" i="1"/>
  <c r="F98" i="1" s="1"/>
  <c r="I90" i="1"/>
  <c r="I97" i="1"/>
  <c r="I98" i="1" s="1"/>
  <c r="H90" i="1"/>
  <c r="H97" i="1"/>
  <c r="H98" i="1" s="1"/>
  <c r="V51" i="13"/>
  <c r="U52" i="13"/>
  <c r="H14" i="9"/>
  <c r="J87" i="1"/>
  <c r="E20" i="9"/>
  <c r="H20" i="9"/>
  <c r="E22" i="9"/>
  <c r="H22" i="9"/>
  <c r="E21" i="9"/>
  <c r="H21" i="9"/>
  <c r="H30" i="9"/>
  <c r="E30" i="9"/>
  <c r="H23" i="9"/>
  <c r="E23" i="9"/>
  <c r="E12" i="9"/>
  <c r="H12" i="9"/>
  <c r="H33" i="9"/>
  <c r="E33" i="9"/>
  <c r="P58" i="13"/>
  <c r="H13" i="9"/>
  <c r="E13" i="9"/>
  <c r="J86" i="1"/>
  <c r="E31" i="9" l="1"/>
  <c r="F31" i="9" s="1"/>
  <c r="G31" i="9" s="1"/>
  <c r="E11" i="9"/>
  <c r="G86" i="1" s="1"/>
  <c r="H10" i="9"/>
  <c r="K184" i="1"/>
  <c r="L181" i="1"/>
  <c r="L183" i="1"/>
  <c r="L182" i="1"/>
  <c r="L186" i="1"/>
  <c r="L187" i="1" s="1"/>
  <c r="Y52" i="13"/>
  <c r="C39" i="7"/>
  <c r="E39" i="7" s="1"/>
  <c r="K90" i="1" s="1"/>
  <c r="H36" i="9"/>
  <c r="H25" i="9"/>
  <c r="H32" i="9"/>
  <c r="L86" i="1"/>
  <c r="F25" i="9"/>
  <c r="G25" i="9" s="1"/>
  <c r="H16" i="9"/>
  <c r="AC52" i="13"/>
  <c r="E35" i="9"/>
  <c r="F35" i="9" s="1"/>
  <c r="G35" i="9" s="1"/>
  <c r="C40" i="7"/>
  <c r="E40" i="7" s="1"/>
  <c r="L90" i="1" s="1"/>
  <c r="H15" i="9"/>
  <c r="AA52" i="13"/>
  <c r="E26" i="9"/>
  <c r="F26" i="9" s="1"/>
  <c r="G26" i="9" s="1"/>
  <c r="F34" i="9"/>
  <c r="G34" i="9" s="1"/>
  <c r="L88" i="1"/>
  <c r="K88" i="1"/>
  <c r="C38" i="7"/>
  <c r="E38" i="7" s="1"/>
  <c r="J90" i="1" s="1"/>
  <c r="J91" i="1" s="1"/>
  <c r="J93" i="1" s="1"/>
  <c r="V52" i="13"/>
  <c r="I86" i="1"/>
  <c r="F13" i="9"/>
  <c r="G13" i="9" s="1"/>
  <c r="F23" i="9"/>
  <c r="G23" i="9" s="1"/>
  <c r="I87" i="1"/>
  <c r="F21" i="9"/>
  <c r="G21" i="9" s="1"/>
  <c r="G87" i="1"/>
  <c r="H87" i="1"/>
  <c r="F22" i="9"/>
  <c r="G22" i="9" s="1"/>
  <c r="F10" i="9"/>
  <c r="G10" i="9" s="1"/>
  <c r="F86" i="1"/>
  <c r="F30" i="9"/>
  <c r="G30" i="9" s="1"/>
  <c r="F88" i="1"/>
  <c r="I88" i="1"/>
  <c r="F33" i="9"/>
  <c r="G33" i="9" s="1"/>
  <c r="H86" i="1"/>
  <c r="F12" i="9"/>
  <c r="G12" i="9" s="1"/>
  <c r="F32" i="9"/>
  <c r="G32" i="9" s="1"/>
  <c r="H88" i="1"/>
  <c r="F87" i="1"/>
  <c r="F20" i="9"/>
  <c r="G20" i="9" s="1"/>
  <c r="K86" i="1"/>
  <c r="F15" i="9"/>
  <c r="G15" i="9" s="1"/>
  <c r="G88" i="1" l="1"/>
  <c r="G91" i="1" s="1"/>
  <c r="G93" i="1" s="1"/>
  <c r="F11" i="9"/>
  <c r="G11" i="9" s="1"/>
  <c r="L184" i="1"/>
  <c r="K91" i="1"/>
  <c r="K93" i="1" s="1"/>
  <c r="L87" i="1"/>
  <c r="L91" i="1" s="1"/>
  <c r="L93" i="1" s="1"/>
  <c r="E41" i="7"/>
  <c r="C41" i="7"/>
  <c r="K97" i="1"/>
  <c r="K98" i="1" s="1"/>
  <c r="L97" i="1"/>
  <c r="L98" i="1" s="1"/>
  <c r="J97" i="1"/>
  <c r="J98" i="1" s="1"/>
  <c r="J189" i="1" s="1"/>
  <c r="I91" i="1"/>
  <c r="I93" i="1" s="1"/>
  <c r="H91" i="1"/>
  <c r="H93" i="1" s="1"/>
  <c r="F91" i="1"/>
  <c r="F93" i="1" s="1"/>
  <c r="G189" i="1" l="1"/>
  <c r="G191" i="1" s="1"/>
  <c r="K189" i="1"/>
  <c r="K191" i="1" s="1"/>
  <c r="J191" i="1"/>
  <c r="F189" i="1"/>
  <c r="F191" i="1" s="1"/>
  <c r="H189" i="1"/>
  <c r="H191" i="1" s="1"/>
  <c r="I189" i="1"/>
  <c r="I191" i="1" s="1"/>
  <c r="L189" i="1"/>
  <c r="L19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Astudillo Villegas</author>
  </authors>
  <commentList>
    <comment ref="D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Nombre del centro de costos al que corresponde la proyección</t>
        </r>
      </text>
    </comment>
    <comment ref="K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Nombre de la persona responsable del centro de costos</t>
        </r>
      </text>
    </comment>
    <comment ref="L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Código de l centro de costos si ya existe</t>
        </r>
      </text>
    </comment>
    <comment ref="C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Fecha en que inica la proyección acorde con los calendarios académico y administrativo de la universidad</t>
        </r>
      </text>
    </comment>
    <comment ref="L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Fecha en que termina la proyección acorde con los calendarios académico y administrativo de la universidad</t>
        </r>
      </text>
    </comment>
    <comment ref="F1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Escriba el año inicial de la proyección</t>
        </r>
      </text>
    </comment>
    <comment ref="G7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Cifras modificables solo por la Dirección Financiera</t>
        </r>
      </text>
    </comment>
    <comment ref="H77" authorId="0" shapeId="0" xr:uid="{AB830180-F2A8-4096-A636-1D682BF72A85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Cifras modificables solo por la Dirección Financiera</t>
        </r>
      </text>
    </comment>
    <comment ref="I77" authorId="0" shapeId="0" xr:uid="{3B397894-7479-4A47-983D-3461F6C9E37D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Cifras modificables solo por la Dirección Financiera</t>
        </r>
      </text>
    </comment>
    <comment ref="J77" authorId="0" shapeId="0" xr:uid="{A696EACD-D863-49D5-B0F1-E2957E58483B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Cifras modificables solo por la Dirección Financiera</t>
        </r>
      </text>
    </comment>
    <comment ref="K77" authorId="0" shapeId="0" xr:uid="{ECDA6D96-2611-47F6-BC65-10EA199AB445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Cifras modificables solo por la Dirección Financiera</t>
        </r>
      </text>
    </comment>
    <comment ref="L77" authorId="0" shapeId="0" xr:uid="{369A4170-5E24-486D-850D-2EFDB62EBB91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Cifras modificables solo por la Dirección Financiera</t>
        </r>
      </text>
    </comment>
    <comment ref="E18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Valide el porcentaje acorde con las necesidades del programa</t>
        </r>
      </text>
    </comment>
    <comment ref="E18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Valide el porcentaje acorde con las necesidades del programa</t>
        </r>
      </text>
    </comment>
    <comment ref="E18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Valide el porcentaje acorde con las necesidades del programa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Mauricio Andres Benavidez Lopez</author>
    <author>Ricardo Astudillo Villegas</author>
    <author>giova515@hotmail.com</author>
  </authors>
  <commentList>
    <comment ref="A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ANTES DE DETALLAR LOS INGRESOS DEBE DE DESPLEGAR Y SELECCIONAR LA MODALIDAD DEL PROGRAMA</t>
        </r>
      </text>
    </comment>
    <comment ref="R7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Casillo modificable solo por la Dirección Financiera</t>
        </r>
      </text>
    </comment>
    <comment ref="J10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Seleccione el perido de admisión de los estudiantes al programa</t>
        </r>
      </text>
    </comment>
    <comment ref="Y12" authorId="2" shapeId="0" xr:uid="{00000000-0006-0000-0100-00000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Numero de aspirantes inscritos que no se matriculan, debe ser la diferencia entre los inscritos (celda B9) y el cupo autorizado o solicitado de matrícula por periodo</t>
        </r>
      </text>
    </comment>
    <comment ref="B14" authorId="2" shapeId="0" xr:uid="{00000000-0006-0000-0100-00000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aspirantes a inscribir</t>
        </r>
      </text>
    </comment>
    <comment ref="P14" authorId="1" shapeId="0" xr:uid="{00000000-0006-0000-0100-00000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1" authorId="2" shapeId="0" xr:uid="{00000000-0006-0000-0100-00000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1" authorId="2" shapeId="0" xr:uid="{00000000-0006-0000-0100-00000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1" authorId="2" shapeId="0" xr:uid="{00000000-0006-0000-0100-00000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1" authorId="2" shapeId="0" xr:uid="{00000000-0006-0000-0100-00000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1" authorId="2" shapeId="0" xr:uid="{00000000-0006-0000-0100-00000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1" authorId="2" shapeId="0" xr:uid="{00000000-0006-0000-0100-00000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1" authorId="2" shapeId="0" xr:uid="{00000000-0006-0000-0100-00000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1" authorId="2" shapeId="0" xr:uid="{00000000-0006-0000-0100-00000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1" authorId="2" shapeId="0" xr:uid="{00000000-0006-0000-0100-00000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1" authorId="2" shapeId="0" xr:uid="{00000000-0006-0000-0100-00001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1" authorId="2" shapeId="0" xr:uid="{00000000-0006-0000-0100-00001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1" authorId="2" shapeId="0" xr:uid="{00000000-0006-0000-0100-00001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1" authorId="2" shapeId="0" xr:uid="{00000000-0006-0000-0100-00001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1" authorId="2" shapeId="0" xr:uid="{00000000-0006-0000-0100-00001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1" authorId="1" shapeId="0" xr:uid="{00000000-0006-0000-0100-00001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2" authorId="2" shapeId="0" xr:uid="{00000000-0006-0000-0100-00001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2" authorId="2" shapeId="0" xr:uid="{00000000-0006-0000-0100-00001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2" authorId="2" shapeId="0" xr:uid="{00000000-0006-0000-0100-00001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2" authorId="2" shapeId="0" xr:uid="{00000000-0006-0000-0100-00001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2" authorId="2" shapeId="0" xr:uid="{00000000-0006-0000-0100-00001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2" authorId="2" shapeId="0" xr:uid="{00000000-0006-0000-0100-00001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2" authorId="2" shapeId="0" xr:uid="{00000000-0006-0000-0100-00001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2" authorId="2" shapeId="0" xr:uid="{00000000-0006-0000-0100-00001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2" authorId="2" shapeId="0" xr:uid="{00000000-0006-0000-0100-00001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2" authorId="2" shapeId="0" xr:uid="{00000000-0006-0000-0100-00001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2" authorId="2" shapeId="0" xr:uid="{00000000-0006-0000-0100-00002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2" authorId="2" shapeId="0" xr:uid="{00000000-0006-0000-0100-00002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2" authorId="2" shapeId="0" xr:uid="{00000000-0006-0000-0100-00002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2" authorId="2" shapeId="0" xr:uid="{00000000-0006-0000-0100-00002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2" authorId="1" shapeId="0" xr:uid="{00000000-0006-0000-0100-00002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3" authorId="2" shapeId="0" xr:uid="{00000000-0006-0000-0100-00002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3" authorId="2" shapeId="0" xr:uid="{00000000-0006-0000-0100-00002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3" authorId="2" shapeId="0" xr:uid="{00000000-0006-0000-0100-00002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3" authorId="2" shapeId="0" xr:uid="{00000000-0006-0000-0100-00002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3" authorId="2" shapeId="0" xr:uid="{00000000-0006-0000-0100-00002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3" authorId="2" shapeId="0" xr:uid="{00000000-0006-0000-0100-00002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3" authorId="2" shapeId="0" xr:uid="{00000000-0006-0000-0100-00002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3" authorId="2" shapeId="0" xr:uid="{00000000-0006-0000-0100-00002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3" authorId="2" shapeId="0" xr:uid="{00000000-0006-0000-0100-00002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3" authorId="2" shapeId="0" xr:uid="{00000000-0006-0000-0100-00002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3" authorId="2" shapeId="0" xr:uid="{00000000-0006-0000-0100-00002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3" authorId="2" shapeId="0" xr:uid="{00000000-0006-0000-0100-00003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3" authorId="2" shapeId="0" xr:uid="{00000000-0006-0000-0100-00003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3" authorId="2" shapeId="0" xr:uid="{00000000-0006-0000-0100-00003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3" authorId="1" shapeId="0" xr:uid="{00000000-0006-0000-0100-00003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4" authorId="2" shapeId="0" xr:uid="{00000000-0006-0000-0100-00003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4" authorId="2" shapeId="0" xr:uid="{00000000-0006-0000-0100-00003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4" authorId="2" shapeId="0" xr:uid="{00000000-0006-0000-0100-00003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4" authorId="2" shapeId="0" xr:uid="{00000000-0006-0000-0100-00003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4" authorId="2" shapeId="0" xr:uid="{00000000-0006-0000-0100-00003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4" authorId="2" shapeId="0" xr:uid="{00000000-0006-0000-0100-00003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4" authorId="2" shapeId="0" xr:uid="{00000000-0006-0000-0100-00003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4" authorId="2" shapeId="0" xr:uid="{00000000-0006-0000-0100-00003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4" authorId="2" shapeId="0" xr:uid="{00000000-0006-0000-0100-00003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4" authorId="2" shapeId="0" xr:uid="{00000000-0006-0000-0100-00003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4" authorId="2" shapeId="0" xr:uid="{00000000-0006-0000-0100-00003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4" authorId="2" shapeId="0" xr:uid="{00000000-0006-0000-0100-00003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4" authorId="2" shapeId="0" xr:uid="{00000000-0006-0000-0100-00004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4" authorId="2" shapeId="0" xr:uid="{00000000-0006-0000-0100-00004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4" authorId="1" shapeId="0" xr:uid="{00000000-0006-0000-0100-00004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5" authorId="2" shapeId="0" xr:uid="{00000000-0006-0000-0100-00004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5" authorId="2" shapeId="0" xr:uid="{00000000-0006-0000-0100-00004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5" authorId="2" shapeId="0" xr:uid="{00000000-0006-0000-0100-00004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5" authorId="2" shapeId="0" xr:uid="{00000000-0006-0000-0100-00004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5" authorId="2" shapeId="0" xr:uid="{00000000-0006-0000-0100-00004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5" authorId="2" shapeId="0" xr:uid="{00000000-0006-0000-0100-00004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5" authorId="2" shapeId="0" xr:uid="{00000000-0006-0000-0100-00004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5" authorId="2" shapeId="0" xr:uid="{00000000-0006-0000-0100-00004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5" authorId="2" shapeId="0" xr:uid="{00000000-0006-0000-0100-00004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5" authorId="2" shapeId="0" xr:uid="{00000000-0006-0000-0100-00004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5" authorId="2" shapeId="0" xr:uid="{00000000-0006-0000-0100-00004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5" authorId="2" shapeId="0" xr:uid="{00000000-0006-0000-0100-00004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5" authorId="2" shapeId="0" xr:uid="{00000000-0006-0000-0100-00004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5" authorId="2" shapeId="0" xr:uid="{00000000-0006-0000-0100-00005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5" authorId="1" shapeId="0" xr:uid="{00000000-0006-0000-0100-00005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6" authorId="2" shapeId="0" xr:uid="{00000000-0006-0000-0100-00005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6" authorId="2" shapeId="0" xr:uid="{00000000-0006-0000-0100-00005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6" authorId="2" shapeId="0" xr:uid="{00000000-0006-0000-0100-00005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6" authorId="2" shapeId="0" xr:uid="{00000000-0006-0000-0100-00005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6" authorId="2" shapeId="0" xr:uid="{00000000-0006-0000-0100-00005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6" authorId="2" shapeId="0" xr:uid="{00000000-0006-0000-0100-00005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6" authorId="2" shapeId="0" xr:uid="{00000000-0006-0000-0100-00005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6" authorId="2" shapeId="0" xr:uid="{00000000-0006-0000-0100-00005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6" authorId="2" shapeId="0" xr:uid="{00000000-0006-0000-0100-00005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6" authorId="2" shapeId="0" xr:uid="{00000000-0006-0000-0100-00005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6" authorId="2" shapeId="0" xr:uid="{00000000-0006-0000-0100-00005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6" authorId="2" shapeId="0" xr:uid="{00000000-0006-0000-0100-00005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6" authorId="2" shapeId="0" xr:uid="{00000000-0006-0000-0100-00005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6" authorId="2" shapeId="0" xr:uid="{00000000-0006-0000-0100-00005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6" authorId="1" shapeId="0" xr:uid="{00000000-0006-0000-0100-00006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27" authorId="2" shapeId="0" xr:uid="{00000000-0006-0000-0100-00006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27" authorId="2" shapeId="0" xr:uid="{00000000-0006-0000-0100-00006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27" authorId="2" shapeId="0" xr:uid="{00000000-0006-0000-0100-00006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27" authorId="2" shapeId="0" xr:uid="{00000000-0006-0000-0100-00006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27" authorId="2" shapeId="0" xr:uid="{00000000-0006-0000-0100-00006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27" authorId="2" shapeId="0" xr:uid="{00000000-0006-0000-0100-00006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27" authorId="2" shapeId="0" xr:uid="{00000000-0006-0000-0100-00006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27" authorId="2" shapeId="0" xr:uid="{00000000-0006-0000-0100-00006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27" authorId="2" shapeId="0" xr:uid="{00000000-0006-0000-0100-00006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27" authorId="2" shapeId="0" xr:uid="{00000000-0006-0000-0100-00006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27" authorId="2" shapeId="0" xr:uid="{00000000-0006-0000-0100-00006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27" authorId="2" shapeId="0" xr:uid="{00000000-0006-0000-0100-00006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27" authorId="2" shapeId="0" xr:uid="{00000000-0006-0000-0100-00006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27" authorId="2" shapeId="0" xr:uid="{00000000-0006-0000-0100-00006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27" authorId="1" shapeId="0" xr:uid="{00000000-0006-0000-0100-00006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J30" authorId="1" shapeId="0" xr:uid="{00000000-0006-0000-0100-00007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Seleccione el número de semestres que tiene o tendrá el plan de estudios del programa</t>
        </r>
      </text>
    </comment>
    <comment ref="Y34" authorId="2" shapeId="0" xr:uid="{00000000-0006-0000-0100-00007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estudiantes que semestre a semestre abandonan los estudios, calcular teniendo en cuenta estudio de desercín de SPADIES</t>
        </r>
      </text>
    </comment>
    <comment ref="AA34" authorId="1" shapeId="0" xr:uid="{00000000-0006-0000-0100-00007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SI SU PROGRAMA ES DE RENOVACIÓN</t>
        </r>
        <r>
          <rPr>
            <sz val="9"/>
            <color indexed="81"/>
            <rFont val="Tahoma"/>
            <family val="2"/>
          </rPr>
          <t xml:space="preserve">
Indique el múmero de estudiantes actuamente matriculados en cada nivel semestral</t>
        </r>
      </text>
    </comment>
    <comment ref="P35" authorId="1" shapeId="0" xr:uid="{00000000-0006-0000-0100-00007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de la matricula en primer semestre según derechos pecuniarios, o estimado si es programa nuevo</t>
        </r>
      </text>
    </comment>
    <comment ref="P54" authorId="1" shapeId="0" xr:uid="{00000000-0006-0000-0100-00007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Y54" authorId="2" shapeId="0" xr:uid="{00000000-0006-0000-0100-00007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estudiantes que habiendo culminado el ciclo no completan requisitos para grado</t>
        </r>
      </text>
    </comment>
    <comment ref="Y59" authorId="1" shapeId="0" xr:uid="{00000000-0006-0000-0100-00007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Validar este comportamiento con la estadística de su programa</t>
        </r>
      </text>
    </comment>
    <comment ref="P61" authorId="1" shapeId="0" xr:uid="{00000000-0006-0000-0100-00007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P62" authorId="1" shapeId="0" xr:uid="{00000000-0006-0000-0100-00007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P63" authorId="1" shapeId="0" xr:uid="{00000000-0006-0000-0100-00007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P64" authorId="1" shapeId="0" xr:uid="{00000000-0006-0000-0100-00007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P65" authorId="1" shapeId="0" xr:uid="{00000000-0006-0000-0100-00007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P66" authorId="1" shapeId="0" xr:uid="{00000000-0006-0000-0100-00007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P67" authorId="1" shapeId="0" xr:uid="{00000000-0006-0000-0100-00007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82" authorId="2" shapeId="0" xr:uid="{00000000-0006-0000-0100-00007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82" authorId="2" shapeId="0" xr:uid="{00000000-0006-0000-0100-00007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82" authorId="2" shapeId="0" xr:uid="{00000000-0006-0000-0100-00008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82" authorId="2" shapeId="0" xr:uid="{00000000-0006-0000-0100-00008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82" authorId="2" shapeId="0" xr:uid="{00000000-0006-0000-0100-00008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82" authorId="2" shapeId="0" xr:uid="{00000000-0006-0000-0100-00008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82" authorId="2" shapeId="0" xr:uid="{00000000-0006-0000-0100-00008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82" authorId="2" shapeId="0" xr:uid="{00000000-0006-0000-0100-00008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82" authorId="2" shapeId="0" xr:uid="{00000000-0006-0000-0100-00008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82" authorId="2" shapeId="0" xr:uid="{00000000-0006-0000-0100-00008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82" authorId="2" shapeId="0" xr:uid="{00000000-0006-0000-0100-00008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82" authorId="2" shapeId="0" xr:uid="{00000000-0006-0000-0100-00008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82" authorId="2" shapeId="0" xr:uid="{00000000-0006-0000-0100-00008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82" authorId="2" shapeId="0" xr:uid="{00000000-0006-0000-0100-00008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82" authorId="1" shapeId="0" xr:uid="{00000000-0006-0000-0100-00008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83" authorId="2" shapeId="0" xr:uid="{00000000-0006-0000-0100-00008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83" authorId="2" shapeId="0" xr:uid="{00000000-0006-0000-0100-00008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83" authorId="2" shapeId="0" xr:uid="{00000000-0006-0000-0100-00008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83" authorId="2" shapeId="0" xr:uid="{00000000-0006-0000-0100-00009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83" authorId="2" shapeId="0" xr:uid="{00000000-0006-0000-0100-00009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83" authorId="2" shapeId="0" xr:uid="{00000000-0006-0000-0100-00009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83" authorId="2" shapeId="0" xr:uid="{00000000-0006-0000-0100-00009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83" authorId="2" shapeId="0" xr:uid="{00000000-0006-0000-0100-00009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83" authorId="2" shapeId="0" xr:uid="{00000000-0006-0000-0100-00009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83" authorId="2" shapeId="0" xr:uid="{00000000-0006-0000-0100-00009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83" authorId="2" shapeId="0" xr:uid="{00000000-0006-0000-0100-00009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83" authorId="2" shapeId="0" xr:uid="{00000000-0006-0000-0100-00009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83" authorId="2" shapeId="0" xr:uid="{00000000-0006-0000-0100-00009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83" authorId="2" shapeId="0" xr:uid="{00000000-0006-0000-0100-00009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83" authorId="1" shapeId="0" xr:uid="{00000000-0006-0000-0100-00009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90" authorId="2" shapeId="0" xr:uid="{00000000-0006-0000-0100-00009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90" authorId="2" shapeId="0" xr:uid="{00000000-0006-0000-0100-00009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90" authorId="2" shapeId="0" xr:uid="{00000000-0006-0000-0100-00009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90" authorId="2" shapeId="0" xr:uid="{00000000-0006-0000-0100-00009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90" authorId="2" shapeId="0" xr:uid="{00000000-0006-0000-0100-0000A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90" authorId="2" shapeId="0" xr:uid="{00000000-0006-0000-0100-0000A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90" authorId="2" shapeId="0" xr:uid="{00000000-0006-0000-0100-0000A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90" authorId="2" shapeId="0" xr:uid="{00000000-0006-0000-0100-0000A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90" authorId="2" shapeId="0" xr:uid="{00000000-0006-0000-0100-0000A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90" authorId="2" shapeId="0" xr:uid="{00000000-0006-0000-0100-0000A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90" authorId="2" shapeId="0" xr:uid="{00000000-0006-0000-0100-0000A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90" authorId="2" shapeId="0" xr:uid="{00000000-0006-0000-0100-0000A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90" authorId="2" shapeId="0" xr:uid="{00000000-0006-0000-0100-0000A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90" authorId="2" shapeId="0" xr:uid="{00000000-0006-0000-0100-0000A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90" authorId="1" shapeId="0" xr:uid="{00000000-0006-0000-0100-0000A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91" authorId="2" shapeId="0" xr:uid="{00000000-0006-0000-0100-0000A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91" authorId="2" shapeId="0" xr:uid="{00000000-0006-0000-0100-0000A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91" authorId="2" shapeId="0" xr:uid="{00000000-0006-0000-0100-0000A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91" authorId="2" shapeId="0" xr:uid="{00000000-0006-0000-0100-0000A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91" authorId="2" shapeId="0" xr:uid="{00000000-0006-0000-0100-0000A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91" authorId="2" shapeId="0" xr:uid="{00000000-0006-0000-0100-0000B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91" authorId="2" shapeId="0" xr:uid="{00000000-0006-0000-0100-0000B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91" authorId="2" shapeId="0" xr:uid="{00000000-0006-0000-0100-0000B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91" authorId="2" shapeId="0" xr:uid="{00000000-0006-0000-0100-0000B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91" authorId="2" shapeId="0" xr:uid="{00000000-0006-0000-0100-0000B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91" authorId="2" shapeId="0" xr:uid="{00000000-0006-0000-0100-0000B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91" authorId="2" shapeId="0" xr:uid="{00000000-0006-0000-0100-0000B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91" authorId="2" shapeId="0" xr:uid="{00000000-0006-0000-0100-0000B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91" authorId="2" shapeId="0" xr:uid="{00000000-0006-0000-0100-0000B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91" authorId="1" shapeId="0" xr:uid="{00000000-0006-0000-0100-0000B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92" authorId="2" shapeId="0" xr:uid="{00000000-0006-0000-0100-0000B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92" authorId="2" shapeId="0" xr:uid="{00000000-0006-0000-0100-0000B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92" authorId="2" shapeId="0" xr:uid="{00000000-0006-0000-0100-0000B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92" authorId="2" shapeId="0" xr:uid="{00000000-0006-0000-0100-0000B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92" authorId="2" shapeId="0" xr:uid="{00000000-0006-0000-0100-0000B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92" authorId="2" shapeId="0" xr:uid="{00000000-0006-0000-0100-0000B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92" authorId="2" shapeId="0" xr:uid="{00000000-0006-0000-0100-0000C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92" authorId="2" shapeId="0" xr:uid="{00000000-0006-0000-0100-0000C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92" authorId="2" shapeId="0" xr:uid="{00000000-0006-0000-0100-0000C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92" authorId="2" shapeId="0" xr:uid="{00000000-0006-0000-0100-0000C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92" authorId="2" shapeId="0" xr:uid="{00000000-0006-0000-0100-0000C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92" authorId="2" shapeId="0" xr:uid="{00000000-0006-0000-0100-0000C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92" authorId="2" shapeId="0" xr:uid="{00000000-0006-0000-0100-0000C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92" authorId="2" shapeId="0" xr:uid="{00000000-0006-0000-0100-0000C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92" authorId="1" shapeId="0" xr:uid="{00000000-0006-0000-0100-0000C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93" authorId="2" shapeId="0" xr:uid="{00000000-0006-0000-0100-0000C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93" authorId="2" shapeId="0" xr:uid="{00000000-0006-0000-0100-0000C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93" authorId="2" shapeId="0" xr:uid="{00000000-0006-0000-0100-0000C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93" authorId="2" shapeId="0" xr:uid="{00000000-0006-0000-0100-0000C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93" authorId="2" shapeId="0" xr:uid="{00000000-0006-0000-0100-0000C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93" authorId="2" shapeId="0" xr:uid="{00000000-0006-0000-0100-0000C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93" authorId="2" shapeId="0" xr:uid="{00000000-0006-0000-0100-0000C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93" authorId="2" shapeId="0" xr:uid="{00000000-0006-0000-0100-0000D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93" authorId="2" shapeId="0" xr:uid="{00000000-0006-0000-0100-0000D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93" authorId="2" shapeId="0" xr:uid="{00000000-0006-0000-0100-0000D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93" authorId="2" shapeId="0" xr:uid="{00000000-0006-0000-0100-0000D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93" authorId="2" shapeId="0" xr:uid="{00000000-0006-0000-0100-0000D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93" authorId="2" shapeId="0" xr:uid="{00000000-0006-0000-0100-0000D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93" authorId="2" shapeId="0" xr:uid="{00000000-0006-0000-0100-0000D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93" authorId="1" shapeId="0" xr:uid="{00000000-0006-0000-0100-0000D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94" authorId="2" shapeId="0" xr:uid="{00000000-0006-0000-0100-0000D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94" authorId="2" shapeId="0" xr:uid="{00000000-0006-0000-0100-0000D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94" authorId="2" shapeId="0" xr:uid="{00000000-0006-0000-0100-0000D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94" authorId="2" shapeId="0" xr:uid="{00000000-0006-0000-0100-0000D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94" authorId="2" shapeId="0" xr:uid="{00000000-0006-0000-0100-0000D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94" authorId="2" shapeId="0" xr:uid="{00000000-0006-0000-0100-0000D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94" authorId="2" shapeId="0" xr:uid="{00000000-0006-0000-0100-0000D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94" authorId="2" shapeId="0" xr:uid="{00000000-0006-0000-0100-0000D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94" authorId="2" shapeId="0" xr:uid="{00000000-0006-0000-0100-0000E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94" authorId="2" shapeId="0" xr:uid="{00000000-0006-0000-0100-0000E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94" authorId="2" shapeId="0" xr:uid="{00000000-0006-0000-0100-0000E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94" authorId="2" shapeId="0" xr:uid="{00000000-0006-0000-0100-0000E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94" authorId="2" shapeId="0" xr:uid="{00000000-0006-0000-0100-0000E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94" authorId="2" shapeId="0" xr:uid="{00000000-0006-0000-0100-0000E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94" authorId="1" shapeId="0" xr:uid="{00000000-0006-0000-0100-0000E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  <comment ref="B95" authorId="2" shapeId="0" xr:uid="{00000000-0006-0000-0100-0000E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C95" authorId="2" shapeId="0" xr:uid="{00000000-0006-0000-0100-0000E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D95" authorId="2" shapeId="0" xr:uid="{00000000-0006-0000-0100-0000E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E95" authorId="2" shapeId="0" xr:uid="{00000000-0006-0000-0100-0000E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F95" authorId="2" shapeId="0" xr:uid="{00000000-0006-0000-0100-0000E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G95" authorId="2" shapeId="0" xr:uid="{00000000-0006-0000-0100-0000E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H95" authorId="2" shapeId="0" xr:uid="{00000000-0006-0000-0100-0000E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I95" authorId="2" shapeId="0" xr:uid="{00000000-0006-0000-0100-0000E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J95" authorId="2" shapeId="0" xr:uid="{00000000-0006-0000-0100-0000E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K95" authorId="2" shapeId="0" xr:uid="{00000000-0006-0000-0100-0000F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L95" authorId="2" shapeId="0" xr:uid="{00000000-0006-0000-0100-0000F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M95" authorId="2" shapeId="0" xr:uid="{00000000-0006-0000-0100-0000F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N95" authorId="2" shapeId="0" xr:uid="{00000000-0006-0000-0100-0000F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O95" authorId="2" shapeId="0" xr:uid="{00000000-0006-0000-0100-0000F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Cantidad de participantes a matricular</t>
        </r>
      </text>
    </comment>
    <comment ref="P95" authorId="1" shapeId="0" xr:uid="{00000000-0006-0000-0100-0000F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Valor según derechos pecuniarios vigentes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Astudillo Villegas</author>
  </authors>
  <commentList>
    <comment ref="A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Tenga en cuentra que los valores presupuestados correponden a los del primer año salvo en honorarios docentes e inversiones</t>
        </r>
      </text>
    </comment>
    <comment ref="A9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Indique los cargos, numero de personas por cargo, valores salariales y de auxilio de transporte si aplica</t>
        </r>
      </text>
    </comment>
    <comment ref="A17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Utilice este espacio si requiere personal administrativo por fuera de la nómina</t>
        </r>
      </text>
    </comment>
    <comment ref="A25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Utilice este espacio si requiere personal docente por fuera de la nómina</t>
        </r>
      </text>
    </comment>
    <comment ref="D3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seleccione el valor por hora correspondiente a los profesores cátedra, o los honorarios en los posgrados</t>
        </r>
      </text>
    </comment>
    <comment ref="A5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Si requiere la contración de personal por fuera de nómina indique que personas y por que razones</t>
        </r>
      </text>
    </comment>
    <comment ref="A63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Considere los desplazamientos necesarios para la representación y difusión de programa</t>
        </r>
      </text>
    </comment>
    <comment ref="A71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Tenga en cuenta las movilidades docentes entrantes y salientes tanto para cursos como para participación en eventos</t>
        </r>
      </text>
    </comment>
    <comment ref="A81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Incluya los conceptos asociados a los desplazamientos del personal administrativo</t>
        </r>
      </text>
    </comment>
    <comment ref="A89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Incluya los conceptos asociados a los desplazamientos del personal docente</t>
        </r>
      </text>
    </comment>
    <comment ref="A97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Complete el cuadro con infromación de despalazamientos por vía terresre para personal administrativo del programa</t>
        </r>
      </text>
    </comment>
    <comment ref="A105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Complete el cuadro con infromación de despalazamientos por vía terresre para personal docente del programa</t>
        </r>
      </text>
    </comment>
    <comment ref="A113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Incluya los conceptos asociados a los desplazamientos del personal administrativo</t>
        </r>
      </text>
    </comment>
    <comment ref="A121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Incluya los conceptos asociados a los desplazamientos del personal docente</t>
        </r>
      </text>
    </comment>
    <comment ref="D146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Si el profgrama es de modalidad presencial deje los 12 meses, si es de modalidad virtual escriba cero (0)</t>
        </r>
      </text>
    </comment>
    <comment ref="A168" authorId="0" shapeId="0" xr:uid="{00000000-0006-0000-0200-000010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Indicar el requerimiento de estos elementos para el programa</t>
        </r>
      </text>
    </comment>
    <comment ref="E183" authorId="0" shapeId="0" xr:uid="{00000000-0006-0000-0200-00001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Requiere tener en cuenta 12 Salarios para progrmas de pregrado y posgrado y de 7 salarios para técnicos y tecnológicos, actualice el valor del salario mínimo mensual legal vigente</t>
        </r>
      </text>
    </comment>
    <comment ref="A188" authorId="0" shapeId="0" xr:uid="{00000000-0006-0000-0200-00001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Indique los recursos necesarios para mantener las instalaciones del programa funcionando de manera adecuada, solicite apoyo en servicios generales</t>
        </r>
      </text>
    </comment>
    <comment ref="A201" authorId="0" shapeId="0" xr:uid="{00000000-0006-0000-0200-00001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Si requiere arreglos especiales diferentes al mantenimiento ordinario calculos aquí, consulte con servicios generales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Astudillo Villegas</author>
    <author>usc</author>
  </authors>
  <commentList>
    <comment ref="B2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Acorde con la modalidad y nivel de formación del programa indique las horas presenciales o sincrónicas de un crédito académico</t>
        </r>
      </text>
    </comment>
    <comment ref="AN28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SI SU PROGRAMA ES DE RENOVACIÓN </t>
        </r>
        <r>
          <rPr>
            <sz val="9"/>
            <color indexed="81"/>
            <rFont val="Tahoma"/>
            <family val="2"/>
          </rPr>
          <t>debe diligencias esta área</t>
        </r>
      </text>
    </comment>
    <comment ref="AI29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Numero máximo de estudiantes por curso presencial</t>
        </r>
      </text>
    </comment>
    <comment ref="AQ29" authorId="1" shapeId="0" xr:uid="{00000000-0006-0000-0300-000004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Numero máximo de estudiantes por curso presencial</t>
        </r>
      </text>
    </comment>
    <comment ref="AJ30" authorId="1" shapeId="0" xr:uid="{00000000-0006-0000-0300-000005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Numero de horas con acompañamiento docente por cada crédito de práctica</t>
        </r>
      </text>
    </comment>
    <comment ref="AK30" authorId="1" shapeId="0" xr:uid="{00000000-0006-0000-0300-000006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Cantidad de estudiantes máximos por rotación</t>
        </r>
      </text>
    </comment>
    <comment ref="AL30" authorId="1" shapeId="0" xr:uid="{00000000-0006-0000-0300-000007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Cantidad de grupos (profesores) requeridos para la práctica</t>
        </r>
      </text>
    </comment>
    <comment ref="AR30" authorId="1" shapeId="0" xr:uid="{00000000-0006-0000-0300-000008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Numero de horas con acompañamiento docente por cada crédito de práctica</t>
        </r>
      </text>
    </comment>
    <comment ref="AS30" authorId="1" shapeId="0" xr:uid="{00000000-0006-0000-0300-000009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Cantidad de estudiantes máximos por rotación</t>
        </r>
      </text>
    </comment>
    <comment ref="AT30" authorId="1" shapeId="0" xr:uid="{00000000-0006-0000-0300-00000A000000}">
      <text>
        <r>
          <rPr>
            <b/>
            <sz val="9"/>
            <color indexed="81"/>
            <rFont val="Tahoma"/>
            <family val="2"/>
          </rPr>
          <t>usc:</t>
        </r>
        <r>
          <rPr>
            <sz val="9"/>
            <color indexed="81"/>
            <rFont val="Tahoma"/>
            <family val="2"/>
          </rPr>
          <t xml:space="preserve">
Cantidad de grupos (profesores) requeridos para la práctica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Astudillo Villegas</author>
  </authors>
  <commentList>
    <comment ref="B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Transcriba el nombre, modalidad, obligatoriedad, número de créditos de los cursos que componen la estructura curricular</t>
        </r>
        <r>
          <rPr>
            <b/>
            <sz val="9"/>
            <color indexed="81"/>
            <rFont val="Tahoma"/>
            <family val="2"/>
          </rPr>
          <t xml:space="preserve"> propuesta</t>
        </r>
        <r>
          <rPr>
            <sz val="9"/>
            <color indexed="81"/>
            <rFont val="Tahoma"/>
            <family val="2"/>
          </rPr>
          <t xml:space="preserve"> por cada nivel semestral, indicando el tipo de contratación del docente a asignar</t>
        </r>
      </text>
    </comment>
    <comment ref="N8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SI SU PROGRAMA ES DE RENOVACIÓN</t>
        </r>
        <r>
          <rPr>
            <sz val="9"/>
            <color indexed="81"/>
            <rFont val="Tahoma"/>
            <family val="2"/>
          </rPr>
          <t xml:space="preserve">
Transcriba el nombre, modalidad, obligatoriedad, número de créditos de los cursos que componen la estructura curricular </t>
        </r>
        <r>
          <rPr>
            <b/>
            <sz val="9"/>
            <color indexed="81"/>
            <rFont val="Tahoma"/>
            <family val="2"/>
          </rPr>
          <t>actual</t>
        </r>
        <r>
          <rPr>
            <sz val="9"/>
            <color indexed="81"/>
            <rFont val="Tahoma"/>
            <family val="2"/>
          </rPr>
          <t xml:space="preserve"> por cada nivel semestral, indicando el tipo de contratación del docente asignado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Astudillo Villegas</author>
  </authors>
  <commentList>
    <comment ref="C10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Indique la fecha de diligenciamineto del plan</t>
        </r>
      </text>
    </comment>
    <comment ref="B14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Indique los aportes que hará el programa a la infraestructura general de la universidad, separe la parte física de las redes dando mayor participación a la que corresponda según el programa sea presencial o virtual.
Considera también inversiones propias para el programa o compartidas con la facultad.
Inserte las filas que estime necesarias.</t>
        </r>
      </text>
    </comment>
    <comment ref="B16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Diferenciar entre invesrsiones en espacios administrativos al servicio del programa o la facultad y espacios académicos.
Inserte las filas que sena necesarias.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Astudillo Villegas</author>
  </authors>
  <commentList>
    <comment ref="B14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Incluya el plan para adqusución de libros en físico y bases de datos.
Agregue las filas necesarias.</t>
        </r>
      </text>
    </comment>
    <comment ref="B16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Relacione el plan para aquirir software especializado y equipos de larga duración para dotación de laboratorios.
Incluya la filas que requiera.</t>
        </r>
      </text>
    </comment>
    <comment ref="B18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Ricardo Astudillo Villegas:</t>
        </r>
        <r>
          <rPr>
            <sz val="9"/>
            <color indexed="81"/>
            <rFont val="Tahoma"/>
            <family val="2"/>
          </rPr>
          <t xml:space="preserve">
Elaobre y valore el plan para la creación de curso y módulos para programas virtuales y de soporte a los presenciales en Moodle.
Inserte las filas necesarias.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<sst xmlns="http://schemas.openxmlformats.org/spreadsheetml/2006/main" count="928" uniqueCount="484">
  <si>
    <t>RESPONSABLE</t>
  </si>
  <si>
    <t>No. ASISTENTES</t>
  </si>
  <si>
    <t>CENTRO DE COSTO</t>
  </si>
  <si>
    <t>VER ANEXO</t>
  </si>
  <si>
    <t>JORNADA</t>
  </si>
  <si>
    <t>TODAS</t>
  </si>
  <si>
    <t>DERECHOS DE GRADO</t>
  </si>
  <si>
    <t>CONCEPTO</t>
  </si>
  <si>
    <t>VALOR TOTAL</t>
  </si>
  <si>
    <t>Convenios</t>
  </si>
  <si>
    <t>2. DESEMBOLSOS</t>
  </si>
  <si>
    <t xml:space="preserve">Sub Total </t>
  </si>
  <si>
    <t>De cumplimiento</t>
  </si>
  <si>
    <t>Estudiantil</t>
  </si>
  <si>
    <t>Activos Fijos</t>
  </si>
  <si>
    <t>Otros Seguros</t>
  </si>
  <si>
    <t>Aseo</t>
  </si>
  <si>
    <t>Telefono Fijo y Celular</t>
  </si>
  <si>
    <t>Acueducto y Alcantarillado</t>
  </si>
  <si>
    <t>Energia Electrica</t>
  </si>
  <si>
    <t>Fax, Internet</t>
  </si>
  <si>
    <t>Notariales</t>
  </si>
  <si>
    <t>Tramites y licencias</t>
  </si>
  <si>
    <t>Otros Gastos Legales</t>
  </si>
  <si>
    <t>Bienes Inmuebles</t>
  </si>
  <si>
    <t>Bienes Muebles</t>
  </si>
  <si>
    <t>Equipos de Computo</t>
  </si>
  <si>
    <t>Equipo Medio Cientifico</t>
  </si>
  <si>
    <t>Piscinas</t>
  </si>
  <si>
    <t>Vehiculo</t>
  </si>
  <si>
    <t>Instrumentos Musicales</t>
  </si>
  <si>
    <t>Articulos de Mantenimiento</t>
  </si>
  <si>
    <t>Adecuaciones Ornamentales</t>
  </si>
  <si>
    <t>Reparaciones Locativas</t>
  </si>
  <si>
    <t>Otras Adecuaciones e Instalaciones</t>
  </si>
  <si>
    <t>Libros,periodicos y revistas</t>
  </si>
  <si>
    <t>Suscripciones</t>
  </si>
  <si>
    <t>Elementos de Aseo y Cafeteria</t>
  </si>
  <si>
    <t>Utiles y Papeleria</t>
  </si>
  <si>
    <t>Material Didactico</t>
  </si>
  <si>
    <t>Fotocopias</t>
  </si>
  <si>
    <t>Taxis y Buses</t>
  </si>
  <si>
    <t>Casino y Restaurantes</t>
  </si>
  <si>
    <t>Parqueaderos</t>
  </si>
  <si>
    <t>Diplomas y Caligrafia</t>
  </si>
  <si>
    <t>Cajas Menores</t>
  </si>
  <si>
    <t>Insumos Medicos</t>
  </si>
  <si>
    <t>Insumos de Laboratorio</t>
  </si>
  <si>
    <t>Lenceria y Otros Articulos</t>
  </si>
  <si>
    <t>Implementos Deportivos</t>
  </si>
  <si>
    <t>Insumos para Carnets</t>
  </si>
  <si>
    <t>Investigación</t>
  </si>
  <si>
    <t>Bienestar Universitario</t>
  </si>
  <si>
    <t>Extensión y Desarrollo</t>
  </si>
  <si>
    <t>TOTAL DESEMBOLSOS</t>
  </si>
  <si>
    <t>EXCEDENTE O DEFICIT</t>
  </si>
  <si>
    <t>Tecnológica - Inscripción</t>
  </si>
  <si>
    <t xml:space="preserve">Tecnológica - Matricula </t>
  </si>
  <si>
    <t>Profesional - Inscripción</t>
  </si>
  <si>
    <t xml:space="preserve">Profesional - Matricula </t>
  </si>
  <si>
    <t>Postgrados - Inscripción</t>
  </si>
  <si>
    <t xml:space="preserve">Postgrados - Matricula </t>
  </si>
  <si>
    <t>Técnico Profesional - Inscripción</t>
  </si>
  <si>
    <t xml:space="preserve">Técnico Profesional - Matricula </t>
  </si>
  <si>
    <t>Formacion Extensiva - Congresos</t>
  </si>
  <si>
    <t>Formacion Extensiva - Diplomados</t>
  </si>
  <si>
    <t>Formacion Extensiva - Seminarios</t>
  </si>
  <si>
    <t>Continuada - Cursos de Actualización</t>
  </si>
  <si>
    <t>Continuada - Conferencias</t>
  </si>
  <si>
    <t>Continuada - Talleres</t>
  </si>
  <si>
    <t>Continuada - Otros</t>
  </si>
  <si>
    <t>Técnico Profesional - Devoluciones</t>
  </si>
  <si>
    <t>Técnico Profesional - Descuentos</t>
  </si>
  <si>
    <t>Técnico Profesional - Becas</t>
  </si>
  <si>
    <t>Tecnológica - Devoluciones</t>
  </si>
  <si>
    <t>Tecnológica - Descuentos</t>
  </si>
  <si>
    <t>Tecnológica - Becas</t>
  </si>
  <si>
    <t>Postgrados - Devoluciones</t>
  </si>
  <si>
    <t>Postgrados - Descuentos</t>
  </si>
  <si>
    <t>Postgrados - Becas</t>
  </si>
  <si>
    <t>Profesional - Devoluciones</t>
  </si>
  <si>
    <t>Profesional - Descuentos</t>
  </si>
  <si>
    <t>Formacion Extensiva - Devoluciones</t>
  </si>
  <si>
    <t>Formacion Extensiva - Descuentos</t>
  </si>
  <si>
    <t>Formacion Extensiva - Becas</t>
  </si>
  <si>
    <t>Técnico Profesional - Derechos Academicos</t>
  </si>
  <si>
    <t>Tecnológica - Derechos Academicos</t>
  </si>
  <si>
    <t>Profesional - Derechos Academicos</t>
  </si>
  <si>
    <t>Postgrados - Derechos Academicos</t>
  </si>
  <si>
    <t>Formacion Extensiva - Inscripción Diplomados</t>
  </si>
  <si>
    <t>Continuada - Devoluciones</t>
  </si>
  <si>
    <t>Continuada - Descuentos</t>
  </si>
  <si>
    <t>Continuada - Becas</t>
  </si>
  <si>
    <t>Consultorias</t>
  </si>
  <si>
    <t>Preescolar - Jardion Infantil USC</t>
  </si>
  <si>
    <t xml:space="preserve">Asistencia Tecnica - Metrología </t>
  </si>
  <si>
    <t xml:space="preserve">Salud oral - Clinica Odontologica </t>
  </si>
  <si>
    <t>Medicamentos - Centro de Vacunación</t>
  </si>
  <si>
    <t>Comercializados - Tienda USC</t>
  </si>
  <si>
    <t>Técnico Profesional - Otros ingresos</t>
  </si>
  <si>
    <t>Tecnológica - Otros ingresos</t>
  </si>
  <si>
    <t>Profesional - Otros ingresos</t>
  </si>
  <si>
    <t>Postgrados - Otros ingresos</t>
  </si>
  <si>
    <t>Bienestar Universitario (Recreación)</t>
  </si>
  <si>
    <t>Sueldos - Personal Administrativo</t>
  </si>
  <si>
    <t>Sueldos - Docentes Tiempo Completo</t>
  </si>
  <si>
    <t>Sueldos - Docentes Medio Tiempo</t>
  </si>
  <si>
    <t>Sueldos - Docentes Indefinidos</t>
  </si>
  <si>
    <t>Sueldos - Docentes Hora Catedra</t>
  </si>
  <si>
    <t>Otros Gastos de Personal - Administrativos</t>
  </si>
  <si>
    <r>
      <t>Prestaciones Sociales -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>Administrativos</t>
    </r>
    <r>
      <rPr>
        <sz val="8"/>
        <rFont val="Arial"/>
        <family val="2"/>
      </rPr>
      <t xml:space="preserve"> (Incluye Bonificación)</t>
    </r>
  </si>
  <si>
    <t>Sueldos - Docentes Dedicación Exclusiva</t>
  </si>
  <si>
    <t>Otros Gastos de Personal - Docente</t>
  </si>
  <si>
    <t>Honorarios - Docentes</t>
  </si>
  <si>
    <t>Honorarios - Trabajos especiales</t>
  </si>
  <si>
    <t>Viaticos - Administrativos</t>
  </si>
  <si>
    <t>Transporte Terrestre - Administrativos (fuera de la ciudad)</t>
  </si>
  <si>
    <t>Hospedaje y Alimentación - Administrativos</t>
  </si>
  <si>
    <t>Pasajes Aereos - Administrativos</t>
  </si>
  <si>
    <t>Pasajes Aereos - Docente</t>
  </si>
  <si>
    <t>Hospedaje y Alimentación - Docente</t>
  </si>
  <si>
    <t>Transporte Terrestre - Docente (fuera de la ciudad)</t>
  </si>
  <si>
    <t>Viaticos - Docente</t>
  </si>
  <si>
    <t>Impresiones</t>
  </si>
  <si>
    <t>Publicaciones</t>
  </si>
  <si>
    <t>Afiliaciones</t>
  </si>
  <si>
    <t>Vigilancia y Seguridad</t>
  </si>
  <si>
    <t>Transporte</t>
  </si>
  <si>
    <t>Diseño</t>
  </si>
  <si>
    <t>Plublicidad y Propaganda</t>
  </si>
  <si>
    <t>Cafeteria y Restaurante</t>
  </si>
  <si>
    <t>Materiales de Educación</t>
  </si>
  <si>
    <t>Eventos Culturales</t>
  </si>
  <si>
    <t>Combustibles y Lubricantes</t>
  </si>
  <si>
    <t>Procesamiento de Informacion</t>
  </si>
  <si>
    <t>ANEXOS INGRESOS</t>
  </si>
  <si>
    <t>INGRESO POR INSCRIPCIONES</t>
  </si>
  <si>
    <t>CURSO</t>
  </si>
  <si>
    <t>No. ESTUDIANTES</t>
  </si>
  <si>
    <t>PERIODO A</t>
  </si>
  <si>
    <t>PERIODO B</t>
  </si>
  <si>
    <t>Total</t>
  </si>
  <si>
    <t>INGRESO POR MATRICULAS</t>
  </si>
  <si>
    <t>Vr. Matricula</t>
  </si>
  <si>
    <t>Primero</t>
  </si>
  <si>
    <t>Segundo</t>
  </si>
  <si>
    <t>Tercero</t>
  </si>
  <si>
    <t>Cuarto</t>
  </si>
  <si>
    <t>Quinto</t>
  </si>
  <si>
    <t>Sexto</t>
  </si>
  <si>
    <t>Septimo</t>
  </si>
  <si>
    <t>Octavo</t>
  </si>
  <si>
    <t>Noveno</t>
  </si>
  <si>
    <t>Decimo</t>
  </si>
  <si>
    <t>INGRESO POR DERECHOS DE GRADO</t>
  </si>
  <si>
    <t>Vr. Derechos</t>
  </si>
  <si>
    <t>Estudiantes</t>
  </si>
  <si>
    <t>Certificaciones</t>
  </si>
  <si>
    <t>Supletorios</t>
  </si>
  <si>
    <t>Habilitaciones</t>
  </si>
  <si>
    <t>Reintegros</t>
  </si>
  <si>
    <t>Validaciones y Homologaciones</t>
  </si>
  <si>
    <t>50% Y 100%</t>
  </si>
  <si>
    <t>TECNICO</t>
  </si>
  <si>
    <t>POSTGRADO</t>
  </si>
  <si>
    <t>EXTENSIVA</t>
  </si>
  <si>
    <t>CONTINUADA</t>
  </si>
  <si>
    <t>FORMACION</t>
  </si>
  <si>
    <t>OTROS INGRESO ACADEMICOS DIVERSOS</t>
  </si>
  <si>
    <t>INGRESO EXTENSIVA Y CONTINUADA</t>
  </si>
  <si>
    <t>DIPLOMADO</t>
  </si>
  <si>
    <t>SEMINARIO</t>
  </si>
  <si>
    <t>CONGRESO</t>
  </si>
  <si>
    <t>CURSO DE ACTUALIZACION</t>
  </si>
  <si>
    <t>CONFERENCIA</t>
  </si>
  <si>
    <t>TALLER</t>
  </si>
  <si>
    <t>OTROS</t>
  </si>
  <si>
    <t>FORMAL Y NO FORMAL</t>
  </si>
  <si>
    <t>OTROS INGRESOS</t>
  </si>
  <si>
    <t>UNIDADES DE NEGOCIO</t>
  </si>
  <si>
    <t>DESCRIPCION</t>
  </si>
  <si>
    <t>ANEXOS COSTOS Y GASTOS</t>
  </si>
  <si>
    <t>PERSONAL ADMINISTRATIVO</t>
  </si>
  <si>
    <t>CARGO</t>
  </si>
  <si>
    <t>No. REQUERIDO</t>
  </si>
  <si>
    <t>SUELDO BASE</t>
  </si>
  <si>
    <t>AUX TRANSPORTE</t>
  </si>
  <si>
    <t>COSTO AÑO SUELDO</t>
  </si>
  <si>
    <t>TOTAL PERSONAL</t>
  </si>
  <si>
    <t>TOTAL</t>
  </si>
  <si>
    <t>VALOR UNITARIO</t>
  </si>
  <si>
    <t>OBSERVACIONES</t>
  </si>
  <si>
    <t>HONORARIOS DOCENTES Y/O CONFERENCISTAS</t>
  </si>
  <si>
    <t>MOTIVO</t>
  </si>
  <si>
    <t>No. DE HORAS</t>
  </si>
  <si>
    <t>V/HORA</t>
  </si>
  <si>
    <t>CASO</t>
  </si>
  <si>
    <t>VALOR</t>
  </si>
  <si>
    <t>HONORARIOS POR TRABAJOS ESPECIALES</t>
  </si>
  <si>
    <t>ARRENDAMIENTOS</t>
  </si>
  <si>
    <t>CLASE DE BIEN</t>
  </si>
  <si>
    <t>CANON MES</t>
  </si>
  <si>
    <t>CANTIDAD</t>
  </si>
  <si>
    <t>MESES</t>
  </si>
  <si>
    <t>V / TOTAL</t>
  </si>
  <si>
    <t>VALOR ANUAL</t>
  </si>
  <si>
    <t>PROVEEDOR</t>
  </si>
  <si>
    <t>SEGUROS</t>
  </si>
  <si>
    <t>PRIMA</t>
  </si>
  <si>
    <t xml:space="preserve"> SERVICIOS GENERALES ( Solo se Diligencia por el Centro de Costo General 310, Palmira y Centro)</t>
  </si>
  <si>
    <t>VALOR MES</t>
  </si>
  <si>
    <t>No. MESES</t>
  </si>
  <si>
    <t>V/TOTAL</t>
  </si>
  <si>
    <t>OBSERVACIONES Y JUSTIFICACION</t>
  </si>
  <si>
    <t>EVENTO</t>
  </si>
  <si>
    <t>CANTIDAD O TIEMPO</t>
  </si>
  <si>
    <t>Prensa</t>
  </si>
  <si>
    <t>Radio</t>
  </si>
  <si>
    <t>Correo</t>
  </si>
  <si>
    <t>Televisión</t>
  </si>
  <si>
    <t>Publicidad</t>
  </si>
  <si>
    <t xml:space="preserve">GASTOS LEGALES O TRAMITES </t>
  </si>
  <si>
    <t>ESPECIFICACION</t>
  </si>
  <si>
    <t>Tramites y Licencias</t>
  </si>
  <si>
    <t>Otros Gastos Legales ( Incluye gastos de Acreditación y Renovación de Registros Calificados)</t>
  </si>
  <si>
    <t>MANTENIMIENTO Y ADECUACIONES</t>
  </si>
  <si>
    <t>ESTOS VALORES DEBEN SER CONCERTADOS CON SERVICIOS GENERALES DE LA USC, EN CASO CONTRARIO ANEXAR COTIZACION PROVEEDOR</t>
  </si>
  <si>
    <t>Adecuaciones ornamentales</t>
  </si>
  <si>
    <t>NOMBRE BENEFICIARIO</t>
  </si>
  <si>
    <t>FECHA ESTIMADA</t>
  </si>
  <si>
    <t>No. TIQUETES</t>
  </si>
  <si>
    <t>V/ UNITARIO</t>
  </si>
  <si>
    <t>OBSEVACIONES</t>
  </si>
  <si>
    <t>HOTEL</t>
  </si>
  <si>
    <t>INCLUYE ALIMENTACION</t>
  </si>
  <si>
    <t>No. DE NOCHES</t>
  </si>
  <si>
    <t>VALOR POR NOCHE</t>
  </si>
  <si>
    <t>ORGEN</t>
  </si>
  <si>
    <t>DESTINO</t>
  </si>
  <si>
    <t>No DE VIAJES</t>
  </si>
  <si>
    <t>V/DIA</t>
  </si>
  <si>
    <t>No. DE DIAS</t>
  </si>
  <si>
    <t>Según las tarifas establecidas</t>
  </si>
  <si>
    <t>OTROS GASTOS DE PERSONAL ADMINISTRATIVO</t>
  </si>
  <si>
    <t>OTROS GASTOS DE PERSONAL DOCENTE</t>
  </si>
  <si>
    <t>CUANTIFICACION NOMINA DE DOCENTES DE CONTRATACION ESPECIAL</t>
  </si>
  <si>
    <t>DEDICACION EXCLUSIVA</t>
  </si>
  <si>
    <t>TOTAL AÑO</t>
  </si>
  <si>
    <t>FACTOR PRESTACIONAL</t>
  </si>
  <si>
    <t>TOTAL NOMINA</t>
  </si>
  <si>
    <t>TIEMPO COMPLETO</t>
  </si>
  <si>
    <t>MEDIO TIEMPO</t>
  </si>
  <si>
    <t>INDEFINIDO</t>
  </si>
  <si>
    <t>PASAJES AEREOS DOCENTES</t>
  </si>
  <si>
    <t>HOSPEDAJE Y ALIMENTACION ADMINISTRATIVOS</t>
  </si>
  <si>
    <t>HOSPEDAJE Y ALIMENTACION DOCENTES</t>
  </si>
  <si>
    <t>PASAJES AEREOS ADMINISTRATIVOS</t>
  </si>
  <si>
    <t>TRANSPORTE TERRESTRE ADMINISTRATIVOS</t>
  </si>
  <si>
    <t>TRANSPORTE TERRESTRE DOCENTES</t>
  </si>
  <si>
    <t>VIATICOS ADMINISTRATIVOS</t>
  </si>
  <si>
    <t>VIATICOS DOCENTES</t>
  </si>
  <si>
    <t>IMPRESIONES, PUBLICACIONES, SUSCRIPCIONES Y AFILIACIONES</t>
  </si>
  <si>
    <t>Otros Gastos Servicios</t>
  </si>
  <si>
    <t>SERVICIOS - PUBLICIDAD Y PROPAGANDA</t>
  </si>
  <si>
    <t>REPARACIONES, ADECUACIONES E INSTALACIONES</t>
  </si>
  <si>
    <t>DIVERSOS</t>
  </si>
  <si>
    <t>MODALIDAD</t>
  </si>
  <si>
    <t>Hora Catedra</t>
  </si>
  <si>
    <t>Hora Practica Salud</t>
  </si>
  <si>
    <t>Hora Practica 5año Salud e Internado</t>
  </si>
  <si>
    <t>Hora Tecnología</t>
  </si>
  <si>
    <t>SALARIOS MENSUALES (sin factor prestacional)</t>
  </si>
  <si>
    <t>DEX</t>
  </si>
  <si>
    <t>TCE</t>
  </si>
  <si>
    <t>MTE</t>
  </si>
  <si>
    <t>MTP</t>
  </si>
  <si>
    <t>Año 1</t>
  </si>
  <si>
    <t>Año 2</t>
  </si>
  <si>
    <t>Año 3</t>
  </si>
  <si>
    <t>Año 4</t>
  </si>
  <si>
    <t>Ajuste anual</t>
  </si>
  <si>
    <t>Año Completo</t>
  </si>
  <si>
    <t>Ajuste anual Costos</t>
  </si>
  <si>
    <t>Semestre</t>
  </si>
  <si>
    <t>Año 5</t>
  </si>
  <si>
    <t>Creditos</t>
  </si>
  <si>
    <t>Horas</t>
  </si>
  <si>
    <t>En los semestres donde hay cursos electivos se considera su apertura.</t>
  </si>
  <si>
    <t>Open House</t>
  </si>
  <si>
    <t>Deserción</t>
  </si>
  <si>
    <t>Deserción Acumulada</t>
  </si>
  <si>
    <r>
      <t>Prestaciones Sociales - Docentes</t>
    </r>
    <r>
      <rPr>
        <sz val="8"/>
        <rFont val="Arial"/>
        <family val="2"/>
      </rPr>
      <t xml:space="preserve"> (Incluye Bonific.)</t>
    </r>
  </si>
  <si>
    <t>Graduados</t>
  </si>
  <si>
    <t>Comisión agencia compra tiquetes aereos</t>
  </si>
  <si>
    <t>CREDITOS</t>
  </si>
  <si>
    <t>Oblig</t>
  </si>
  <si>
    <t>Elect</t>
  </si>
  <si>
    <t>No. Grup</t>
  </si>
  <si>
    <t>FECHA INICIO</t>
  </si>
  <si>
    <t>Pract</t>
  </si>
  <si>
    <t>POR PRACTICA</t>
  </si>
  <si>
    <t>Horas Presenc</t>
  </si>
  <si>
    <t>No. Estud</t>
  </si>
  <si>
    <t>No. Grupos</t>
  </si>
  <si>
    <t xml:space="preserve"> </t>
  </si>
  <si>
    <t>Docentes año 1</t>
  </si>
  <si>
    <t>Docentes año 2</t>
  </si>
  <si>
    <t>Docentes año 3</t>
  </si>
  <si>
    <t>Docentes año 4</t>
  </si>
  <si>
    <t>Docentes año 5</t>
  </si>
  <si>
    <t>Folletos promocionales</t>
  </si>
  <si>
    <t>Dex</t>
  </si>
  <si>
    <t>TC</t>
  </si>
  <si>
    <t>MT</t>
  </si>
  <si>
    <t>HC</t>
  </si>
  <si>
    <t>SUELDO POR HORA</t>
  </si>
  <si>
    <t>No. HORAS AÑO</t>
  </si>
  <si>
    <t>semanas año</t>
  </si>
  <si>
    <t>Horas semanales</t>
  </si>
  <si>
    <t>Horas anuales</t>
  </si>
  <si>
    <t>PERIODO DE PROYECCIÓN</t>
  </si>
  <si>
    <t>Horas investigación por hora docencia</t>
  </si>
  <si>
    <t>Clase sin proyecto</t>
  </si>
  <si>
    <t>Clase con proyecto</t>
  </si>
  <si>
    <t>Pago MEN Registro Calificado</t>
  </si>
  <si>
    <t>Consumibles laboratorios y prácticas</t>
  </si>
  <si>
    <t>CRÉDITOS Y HORAS DE DOCENCIA PRESENCIAL REQUERIDAS SEMESTRE A SEMESTRE DURANTE LA COHORTE</t>
  </si>
  <si>
    <t>Periodo 1</t>
  </si>
  <si>
    <t>Periodo 2</t>
  </si>
  <si>
    <t>Periodo 3</t>
  </si>
  <si>
    <t>Periodo 4</t>
  </si>
  <si>
    <t>Periodo 5</t>
  </si>
  <si>
    <t>Periodo 6</t>
  </si>
  <si>
    <t>Periodo 7</t>
  </si>
  <si>
    <t>Periodo 8</t>
  </si>
  <si>
    <t>Periodo 9</t>
  </si>
  <si>
    <t>Periodo 10</t>
  </si>
  <si>
    <t>HORAS DE DOCENCIA POR SEMESTRE</t>
  </si>
  <si>
    <t>HORAS DE INVESTIGACIÓN POR SEMESTRE</t>
  </si>
  <si>
    <t>Desplazamientos al aeropuerto</t>
  </si>
  <si>
    <t>Año 6</t>
  </si>
  <si>
    <t>Año 7</t>
  </si>
  <si>
    <t>Periodo 11</t>
  </si>
  <si>
    <t>Periodo 12</t>
  </si>
  <si>
    <t>Periodo 13</t>
  </si>
  <si>
    <t>Periodo 14</t>
  </si>
  <si>
    <t xml:space="preserve">NOMBRE CENTRO DE COSTO </t>
  </si>
  <si>
    <t>VR INSCRIPCIÓN</t>
  </si>
  <si>
    <t>Profesional - Becas 50% Y 100%</t>
  </si>
  <si>
    <t>Docentes año 6</t>
  </si>
  <si>
    <t>Docentes año 7</t>
  </si>
  <si>
    <t>Matriculados Periodo actual</t>
  </si>
  <si>
    <t>DESCUENTOS BECAS MATRÍCULAS DE HONOR</t>
  </si>
  <si>
    <t>Congresos</t>
  </si>
  <si>
    <t>Diplomados</t>
  </si>
  <si>
    <t>Seminarios</t>
  </si>
  <si>
    <t>Cursos Actualización</t>
  </si>
  <si>
    <t>Conferencias</t>
  </si>
  <si>
    <t>Talleres</t>
  </si>
  <si>
    <t>Otros</t>
  </si>
  <si>
    <t>Vr. Unitario</t>
  </si>
  <si>
    <t>Viajes personal administrativo</t>
  </si>
  <si>
    <t>Viajes docentes esntrantes y salientes</t>
  </si>
  <si>
    <t>Marcación de títulos</t>
  </si>
  <si>
    <t>Deserción a la Titulación</t>
  </si>
  <si>
    <t>Once</t>
  </si>
  <si>
    <t>Doce</t>
  </si>
  <si>
    <t>COMPORTAMIENTO DE LA MATRICULA DE ESTUDIANTES EN LA COHORTE INICIAL</t>
  </si>
  <si>
    <t xml:space="preserve">indica una relación de 1 a </t>
  </si>
  <si>
    <t>NIVEL</t>
  </si>
  <si>
    <t>Niveles plan de estudio</t>
  </si>
  <si>
    <t>Curso, Módulo o Asignatura</t>
  </si>
  <si>
    <t>Obligatoriedad (O; E)</t>
  </si>
  <si>
    <t>Docente         (Dex; TC; MT; HC)</t>
  </si>
  <si>
    <t>Modalidad                   (T; TP; P)</t>
  </si>
  <si>
    <t>Créditos</t>
  </si>
  <si>
    <t>Con Acompañamiento (sincrónico) / Independiente (asincrónico)</t>
  </si>
  <si>
    <t>Para el semestre</t>
  </si>
  <si>
    <t>Según el número de grupos</t>
  </si>
  <si>
    <t>Acumulado desde primero</t>
  </si>
  <si>
    <t>Acumulado a partir de aquí</t>
  </si>
  <si>
    <t>Total Créditos Académicos</t>
  </si>
  <si>
    <t>HONORARIOS POR ASESORIAS</t>
  </si>
  <si>
    <t xml:space="preserve">Honorarios - Asesorias </t>
  </si>
  <si>
    <t>Impresión guias, revistas, libros</t>
  </si>
  <si>
    <t>Volantes</t>
  </si>
  <si>
    <t>NO Matriculados</t>
  </si>
  <si>
    <t>%  Absorción</t>
  </si>
  <si>
    <t>% Deserción Acumulada</t>
  </si>
  <si>
    <t>Aproximado Docentes</t>
  </si>
  <si>
    <t>Semestral</t>
  </si>
  <si>
    <t>Anual</t>
  </si>
  <si>
    <t>TECNOLOGICO</t>
  </si>
  <si>
    <t xml:space="preserve">Fecha de realización: </t>
  </si>
  <si>
    <t>Objetivo</t>
  </si>
  <si>
    <t xml:space="preserve"> Meta</t>
  </si>
  <si>
    <t>Estrategia</t>
  </si>
  <si>
    <t>Responsables</t>
  </si>
  <si>
    <t>Indicador</t>
  </si>
  <si>
    <t>TOTAL PLAN DE ADQUISICIÓN, CONSTRUCCIÓN O PRÉSTAMO DE INFRAESTRUCTURA FÍSICA Y TECNOLÓGICA</t>
  </si>
  <si>
    <t>Concepto</t>
  </si>
  <si>
    <t>INFRAESTRUCTURA</t>
  </si>
  <si>
    <t>MUEBLES Y ENSERES</t>
  </si>
  <si>
    <t>EQUIPOS DE OFICINA</t>
  </si>
  <si>
    <t>EQUIPOS DE COMPUTACIÓN</t>
  </si>
  <si>
    <t>EQUIPOS MÉDICO CIENTÍFICOS</t>
  </si>
  <si>
    <t>EQUÍPOS DE PRÁCTICAS ACADÉMICAS</t>
  </si>
  <si>
    <t>OTRAS INVERSIONES</t>
  </si>
  <si>
    <t>Recurso requerido (Técnico, Humano)</t>
  </si>
  <si>
    <t>Plazo de ejecución y monto del recurso financiero requerido</t>
  </si>
  <si>
    <t>TOTAL PLAN DE ADQUISICIÓN, CONSTRUCCIÓN O PRÉSTAMO DE MEDIOS EDUCATIVOS</t>
  </si>
  <si>
    <t>MATERIAL BIBLIOGRÁFICO</t>
  </si>
  <si>
    <t>DESARROLLO DE MATERIAL VIRTUAL</t>
  </si>
  <si>
    <t>Plan de inversión Infraestructura Física y Tecnológica</t>
  </si>
  <si>
    <t>Plan de inversión Medios Educativos</t>
  </si>
  <si>
    <t>TOTAL INVERSIÓN</t>
  </si>
  <si>
    <t>Una Cohorte</t>
  </si>
  <si>
    <t>PROFESIONAL</t>
  </si>
  <si>
    <t>1. INGRESOS</t>
  </si>
  <si>
    <t>TARIFAS VIGENTES</t>
  </si>
  <si>
    <t>EDUCACIÓN FORMAL - SUPERIOR TÉCNICO PROFESIONAL</t>
  </si>
  <si>
    <t>EDUCACIÓN FORMAL - SUPERIOR TECNOLÓGICA</t>
  </si>
  <si>
    <t>EDUCACIÓN FORMAL - SUPERIOR PROFESIONAL</t>
  </si>
  <si>
    <t>EDUCACIÓN FORMAL - SUPERIOR POSTGRADOS</t>
  </si>
  <si>
    <t>EDUCACIÓN NO FORMAL - FORMACION EXTENSIVA</t>
  </si>
  <si>
    <t>EDUCACIÓN INFORMAL - CONTINUADA</t>
  </si>
  <si>
    <t xml:space="preserve">OTROS INGRESOS </t>
  </si>
  <si>
    <t>UNIDADES DE NEGOCIOS</t>
  </si>
  <si>
    <t>SUMA TOTAL:</t>
  </si>
  <si>
    <t>TOTAL INGRESOS:</t>
  </si>
  <si>
    <t>GASTOS DE PERSONAL DOCENTE</t>
  </si>
  <si>
    <t>GASTOS DE PERSONAL ADMINISTRATIVO</t>
  </si>
  <si>
    <t>HONORARIOS</t>
  </si>
  <si>
    <t>GASTOS DE VIAJE ADMINISTRATIVO</t>
  </si>
  <si>
    <t>GASTOS DE VIAJES DOCENTES</t>
  </si>
  <si>
    <t>SUB TOTAL</t>
  </si>
  <si>
    <t>FECHA DE TERMINACIÓN</t>
  </si>
  <si>
    <t>VALOR MATRICULA</t>
  </si>
  <si>
    <t>ARRENDAMIENTOS OPERATIVOS</t>
  </si>
  <si>
    <t>SERVICIOS</t>
  </si>
  <si>
    <t>GASTOS LEGALES</t>
  </si>
  <si>
    <t>MANTENIMIENTOS Y ADECUACIONES</t>
  </si>
  <si>
    <t>INVESTIGACIÓN, BIENESTAR Y EXTENSIÓN</t>
  </si>
  <si>
    <t>APOYO ACADÉMICO, ADMINISTRATIVO Y PLANTA FÍSICA</t>
  </si>
  <si>
    <t>Periodicidad de admisión:</t>
  </si>
  <si>
    <t>DILIGENCIE SOLO LAS CELDAS EN COLOR GRIS ACORDE CON LA INSTRUCCIÓN DE LA NOTA</t>
  </si>
  <si>
    <t>No.</t>
  </si>
  <si>
    <t>Cantidad de estudiantes que culminan el ciclo y no cumplen con los requisitos de grado</t>
  </si>
  <si>
    <t>FACTOR PRESTACIÓN</t>
  </si>
  <si>
    <t>DILIGENCIE SOLO LAS CELDAS EN COLOR GRIS ACORDE CON LAS ESTRUCTURAS CURRICULARES PROPUESTAS Y ACTUALES, SEGÚN DOCUMENTO MAESTRO</t>
  </si>
  <si>
    <r>
      <t xml:space="preserve">ESTRUCTURA CURRICULAR </t>
    </r>
    <r>
      <rPr>
        <b/>
        <sz val="11"/>
        <color rgb="FFFF0000"/>
        <rFont val="Arial"/>
        <family val="2"/>
      </rPr>
      <t>PROPUESTA</t>
    </r>
    <r>
      <rPr>
        <b/>
        <sz val="11"/>
        <color theme="1"/>
        <rFont val="Arial"/>
        <family val="2"/>
      </rPr>
      <t xml:space="preserve"> DEL PROGRAMA</t>
    </r>
  </si>
  <si>
    <r>
      <t xml:space="preserve">ESTRUCTURA CURRICULAR </t>
    </r>
    <r>
      <rPr>
        <b/>
        <sz val="11"/>
        <color rgb="FFFF0000"/>
        <rFont val="Arial"/>
        <family val="2"/>
      </rPr>
      <t>ACTUAL</t>
    </r>
    <r>
      <rPr>
        <b/>
        <sz val="11"/>
        <color theme="1"/>
        <rFont val="Arial"/>
        <family val="2"/>
      </rPr>
      <t xml:space="preserve"> DEL PROGRAMA</t>
    </r>
  </si>
  <si>
    <r>
      <t xml:space="preserve">Información de </t>
    </r>
    <r>
      <rPr>
        <b/>
        <sz val="11"/>
        <color rgb="FFFF0000"/>
        <rFont val="Arial"/>
        <family val="2"/>
      </rPr>
      <t>Estructura Actual</t>
    </r>
  </si>
  <si>
    <r>
      <t xml:space="preserve">COSTO HORA </t>
    </r>
    <r>
      <rPr>
        <b/>
        <sz val="12"/>
        <color indexed="9"/>
        <rFont val="Arial"/>
        <family val="2"/>
      </rPr>
      <t>(sin carga prestacional)</t>
    </r>
  </si>
  <si>
    <r>
      <t xml:space="preserve">COSTO HORA </t>
    </r>
    <r>
      <rPr>
        <b/>
        <sz val="12"/>
        <color indexed="9"/>
        <rFont val="Arial"/>
        <family val="2"/>
      </rPr>
      <t>(con carga prestacional)</t>
    </r>
  </si>
  <si>
    <r>
      <rPr>
        <b/>
        <sz val="10"/>
        <rFont val="Arial"/>
        <family val="2"/>
      </rPr>
      <t>FORMATO</t>
    </r>
    <r>
      <rPr>
        <sz val="10"/>
        <rFont val="Arial"/>
        <family val="2"/>
      </rPr>
      <t xml:space="preserve">
Presupuesto para el Ministerio de Educación Nacional</t>
    </r>
  </si>
  <si>
    <r>
      <rPr>
        <b/>
        <sz val="10"/>
        <rFont val="Arial"/>
        <family val="2"/>
      </rPr>
      <t>PROCESO</t>
    </r>
    <r>
      <rPr>
        <sz val="10"/>
        <rFont val="Arial"/>
        <family val="2"/>
      </rPr>
      <t xml:space="preserve">
Planeación Financiera</t>
    </r>
  </si>
  <si>
    <r>
      <rPr>
        <b/>
        <sz val="11"/>
        <color theme="1"/>
        <rFont val="Arial"/>
        <family val="2"/>
      </rPr>
      <t xml:space="preserve">Código: </t>
    </r>
    <r>
      <rPr>
        <sz val="11"/>
        <color theme="1"/>
        <rFont val="Arial"/>
        <family val="2"/>
      </rPr>
      <t>R-PO003</t>
    </r>
  </si>
  <si>
    <t>DILIGENCIE SOLO LAS CELDAS EN COLOR GRIS  ACORDE CON LA INSTRUCCIÓN DE LA NOTA</t>
  </si>
  <si>
    <r>
      <rPr>
        <b/>
        <sz val="11"/>
        <color theme="1"/>
        <rFont val="Arial"/>
        <family val="2"/>
      </rPr>
      <t>Código:</t>
    </r>
    <r>
      <rPr>
        <sz val="11"/>
        <color theme="1"/>
        <rFont val="Arial"/>
        <family val="2"/>
      </rPr>
      <t xml:space="preserve"> R-PO003</t>
    </r>
  </si>
  <si>
    <r>
      <rPr>
        <b/>
        <sz val="11"/>
        <color theme="1"/>
        <rFont val="Arial"/>
        <family val="2"/>
      </rPr>
      <t>FORMATO</t>
    </r>
    <r>
      <rPr>
        <sz val="11"/>
        <color theme="1"/>
        <rFont val="Arial"/>
        <family val="2"/>
      </rPr>
      <t xml:space="preserve">
Presupuesto para el Ministerio de Educación Nacional</t>
    </r>
  </si>
  <si>
    <r>
      <rPr>
        <b/>
        <sz val="11"/>
        <color theme="1"/>
        <rFont val="Arial"/>
        <family val="2"/>
      </rPr>
      <t>PROCESO</t>
    </r>
    <r>
      <rPr>
        <sz val="11"/>
        <color theme="1"/>
        <rFont val="Arial"/>
        <family val="2"/>
      </rPr>
      <t xml:space="preserve">
Planeación Financiera</t>
    </r>
  </si>
  <si>
    <r>
      <rPr>
        <b/>
        <sz val="11"/>
        <color theme="1"/>
        <rFont val="Arial"/>
        <family val="2"/>
      </rPr>
      <t xml:space="preserve">PROCESO
</t>
    </r>
    <r>
      <rPr>
        <sz val="11"/>
        <color theme="1"/>
        <rFont val="Arial"/>
        <family val="2"/>
      </rPr>
      <t>Planeación Financiera</t>
    </r>
  </si>
  <si>
    <t>Un servico por cada X estudiantes</t>
  </si>
  <si>
    <r>
      <rPr>
        <b/>
        <sz val="11"/>
        <color theme="1"/>
        <rFont val="Arial"/>
        <family val="2"/>
      </rPr>
      <t>Fecha de vigencia:</t>
    </r>
    <r>
      <rPr>
        <sz val="11"/>
        <color theme="1"/>
        <rFont val="Arial"/>
        <family val="2"/>
      </rPr>
      <t xml:space="preserve"> 5/05/2026</t>
    </r>
  </si>
  <si>
    <t>T</t>
  </si>
  <si>
    <t>O</t>
  </si>
  <si>
    <t>TP</t>
  </si>
  <si>
    <t>E</t>
  </si>
  <si>
    <t>P</t>
  </si>
  <si>
    <t>PROGRAMAS</t>
  </si>
  <si>
    <t>Especialización</t>
  </si>
  <si>
    <t>Maestría</t>
  </si>
  <si>
    <t>Doctorado</t>
  </si>
  <si>
    <t>Tarifa Docentes Ilustres</t>
  </si>
  <si>
    <t>Tarifa Especial</t>
  </si>
  <si>
    <t>HORA POSGRADOS</t>
  </si>
  <si>
    <r>
      <t xml:space="preserve">Fecha de vigencia: </t>
    </r>
    <r>
      <rPr>
        <sz val="11"/>
        <color theme="1"/>
        <rFont val="Arial"/>
        <family val="2"/>
      </rPr>
      <t>03/08/2026</t>
    </r>
  </si>
  <si>
    <r>
      <rPr>
        <b/>
        <sz val="11"/>
        <color theme="1"/>
        <rFont val="Arial"/>
        <family val="2"/>
      </rPr>
      <t>Fecha de vigencia:</t>
    </r>
    <r>
      <rPr>
        <sz val="11"/>
        <color theme="1"/>
        <rFont val="Arial"/>
        <family val="2"/>
      </rPr>
      <t>03/08/2026</t>
    </r>
  </si>
  <si>
    <r>
      <rPr>
        <b/>
        <sz val="11"/>
        <color theme="1"/>
        <rFont val="Arial"/>
        <family val="2"/>
      </rPr>
      <t>Fecha de vigencia:</t>
    </r>
    <r>
      <rPr>
        <sz val="11"/>
        <color theme="1"/>
        <rFont val="Arial"/>
        <family val="2"/>
      </rPr>
      <t xml:space="preserve"> 03/08/2026</t>
    </r>
  </si>
  <si>
    <r>
      <rPr>
        <b/>
        <sz val="11"/>
        <color theme="1"/>
        <rFont val="Arial"/>
        <family val="2"/>
      </rPr>
      <t xml:space="preserve">Fecha de vigencia: </t>
    </r>
    <r>
      <rPr>
        <sz val="11"/>
        <color theme="1"/>
        <rFont val="Arial"/>
        <family val="2"/>
      </rPr>
      <t>03/08/2026</t>
    </r>
  </si>
  <si>
    <r>
      <t xml:space="preserve">Versión: </t>
    </r>
    <r>
      <rPr>
        <sz val="11"/>
        <color theme="1"/>
        <rFont val="Arial"/>
        <family val="2"/>
      </rPr>
      <t>014</t>
    </r>
  </si>
  <si>
    <r>
      <rPr>
        <b/>
        <sz val="11"/>
        <color theme="1"/>
        <rFont val="Arial"/>
        <family val="2"/>
      </rPr>
      <t>Versión:</t>
    </r>
    <r>
      <rPr>
        <sz val="11"/>
        <color theme="1"/>
        <rFont val="Arial"/>
        <family val="2"/>
      </rPr>
      <t xml:space="preserve"> 014</t>
    </r>
  </si>
  <si>
    <r>
      <rPr>
        <b/>
        <sz val="11"/>
        <color theme="1"/>
        <rFont val="Arial"/>
        <family val="2"/>
      </rPr>
      <t xml:space="preserve">Versión: </t>
    </r>
    <r>
      <rPr>
        <sz val="11"/>
        <color theme="1"/>
        <rFont val="Arial"/>
        <family val="2"/>
      </rPr>
      <t>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</si>
</sst>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-&quot;$&quot;\ * #,##0_-;\-&quot;$&quot;\ * #,##0_-;_-&quot;$&quot;\ * &quot;-&quot;_-;_-@_-"/>
    <numFmt numFmtId="164" formatCode="_(&quot;$&quot;\ * #,##0_);_(&quot;$&quot;\ * \(#,##0\);_(&quot;$&quot;\ * &quot;-&quot;_);_(@_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[$$-240A]\ #,##0"/>
    <numFmt numFmtId="168" formatCode="_ &quot;$&quot;\ * #,##0.00_ ;_ &quot;$&quot;\ * \-#,##0.00_ ;_ &quot;$&quot;\ * &quot;-&quot;??_ ;_ @_ "/>
    <numFmt numFmtId="169" formatCode="0.0%"/>
    <numFmt numFmtId="170" formatCode="_-* #,##0\ _€_-;\-* #,##0\ _€_-;_-* &quot;-&quot;??\ _€_-;_-@_-"/>
    <numFmt numFmtId="171" formatCode="_([$$-240A]\ * #,##0_);_([$$-240A]\ * \(#,##0\);_([$$-240A]\ * &quot;-&quot;??_);_(@_)"/>
    <numFmt numFmtId="172" formatCode="0.0"/>
    <numFmt numFmtId="173" formatCode="#,##0.0"/>
    <numFmt numFmtId="174" formatCode="0.00000%"/>
    <numFmt numFmtId="175" formatCode="_-[$$-240A]\ * #,##0.00000_-;\-[$$-240A]\ * #,##0.00000_-;_-[$$-240A]\ * &quot;-&quot;?????_-;_-@_-"/>
    <numFmt numFmtId="176" formatCode="_(* #,##0_);_(* \(#,##0\);_(* &quot;-&quot;??_);_(@_)"/>
  </numFmts>
  <fonts count="4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b/>
      <sz val="13"/>
      <name val="Arial"/>
      <family val="2"/>
    </font>
    <font>
      <sz val="6"/>
      <name val="Arial"/>
      <family val="2"/>
    </font>
    <font>
      <b/>
      <sz val="9"/>
      <color indexed="81"/>
      <name val="Tahoma"/>
      <family val="2"/>
    </font>
    <font>
      <sz val="7"/>
      <name val="Arial"/>
      <family val="2"/>
    </font>
    <font>
      <sz val="9"/>
      <color indexed="81"/>
      <name val="Tahom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8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u/>
      <sz val="16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u/>
      <sz val="14"/>
      <color indexed="9"/>
      <name val="Arial"/>
      <family val="2"/>
    </font>
    <font>
      <b/>
      <u/>
      <sz val="16"/>
      <color indexed="9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8"/>
      <color indexed="9"/>
      <name val="Arial"/>
      <family val="2"/>
    </font>
    <font>
      <sz val="8"/>
      <color theme="1"/>
      <name val="Arial"/>
      <family val="2"/>
    </font>
    <font>
      <b/>
      <u/>
      <sz val="13"/>
      <color indexed="9"/>
      <name val="Arial"/>
      <family val="2"/>
    </font>
    <font>
      <b/>
      <sz val="9"/>
      <color theme="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157C"/>
        <bgColor indexed="64"/>
      </patternFill>
    </fill>
    <fill>
      <patternFill patternType="solid">
        <fgColor rgb="FF201F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2" fontId="17" fillId="0" borderId="0" applyFont="0" applyFill="0" applyBorder="0" applyAlignment="0" applyProtection="0"/>
  </cellStyleXfs>
  <cellXfs count="578">
    <xf numFmtId="0" fontId="0" fillId="0" borderId="0" xfId="0"/>
    <xf numFmtId="167" fontId="1" fillId="0" borderId="1" xfId="0" applyNumberFormat="1" applyFont="1" applyBorder="1" applyAlignment="1" applyProtection="1">
      <alignment horizontal="right" vertical="center"/>
      <protection locked="0"/>
    </xf>
    <xf numFmtId="167" fontId="1" fillId="0" borderId="1" xfId="3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0" xfId="0" applyFont="1"/>
    <xf numFmtId="49" fontId="1" fillId="0" borderId="0" xfId="0" applyNumberFormat="1" applyFont="1"/>
    <xf numFmtId="49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horizontal="centerContinuous"/>
    </xf>
    <xf numFmtId="0" fontId="2" fillId="3" borderId="0" xfId="0" applyFont="1" applyFill="1" applyAlignment="1">
      <alignment vertical="center"/>
    </xf>
    <xf numFmtId="167" fontId="2" fillId="3" borderId="0" xfId="3" applyNumberFormat="1" applyFont="1" applyFill="1" applyBorder="1" applyAlignment="1" applyProtection="1">
      <alignment vertical="center"/>
    </xf>
    <xf numFmtId="167" fontId="2" fillId="3" borderId="0" xfId="0" applyNumberFormat="1" applyFont="1" applyFill="1" applyAlignment="1">
      <alignment vertical="center"/>
    </xf>
    <xf numFmtId="0" fontId="3" fillId="0" borderId="1" xfId="0" applyFont="1" applyBorder="1" applyAlignment="1">
      <alignment horizontal="right" vertical="center"/>
    </xf>
    <xf numFmtId="9" fontId="1" fillId="0" borderId="1" xfId="4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9" fontId="5" fillId="0" borderId="1" xfId="4" applyFont="1" applyFill="1" applyBorder="1" applyAlignment="1" applyProtection="1">
      <alignment horizontal="center" vertical="center"/>
      <protection locked="0"/>
    </xf>
    <xf numFmtId="9" fontId="8" fillId="0" borderId="1" xfId="4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1" fontId="2" fillId="3" borderId="0" xfId="0" applyNumberFormat="1" applyFont="1" applyFill="1" applyAlignment="1">
      <alignment horizontal="center" vertical="center"/>
    </xf>
    <xf numFmtId="3" fontId="5" fillId="0" borderId="1" xfId="0" applyNumberFormat="1" applyFont="1" applyBorder="1" applyAlignment="1" applyProtection="1">
      <alignment horizontal="center" wrapText="1"/>
      <protection locked="0"/>
    </xf>
    <xf numFmtId="10" fontId="5" fillId="0" borderId="1" xfId="4" applyNumberFormat="1" applyFont="1" applyFill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0" xfId="0" applyFont="1"/>
    <xf numFmtId="3" fontId="22" fillId="0" borderId="1" xfId="0" applyNumberFormat="1" applyFont="1" applyBorder="1" applyAlignment="1">
      <alignment horizontal="center" vertical="center" wrapText="1"/>
    </xf>
    <xf numFmtId="0" fontId="21" fillId="0" borderId="38" xfId="0" applyFont="1" applyBorder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/>
    <xf numFmtId="17" fontId="21" fillId="0" borderId="38" xfId="0" quotePrefix="1" applyNumberFormat="1" applyFont="1" applyBorder="1" applyAlignment="1">
      <alignment vertical="center"/>
    </xf>
    <xf numFmtId="49" fontId="2" fillId="3" borderId="0" xfId="0" applyNumberFormat="1" applyFont="1" applyFill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9" fontId="1" fillId="2" borderId="1" xfId="4" applyFont="1" applyFill="1" applyBorder="1" applyAlignment="1" applyProtection="1">
      <alignment horizontal="center" vertical="center"/>
      <protection locked="0"/>
    </xf>
    <xf numFmtId="167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167" fontId="1" fillId="3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167" fontId="4" fillId="4" borderId="1" xfId="0" applyNumberFormat="1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right"/>
    </xf>
    <xf numFmtId="3" fontId="1" fillId="0" borderId="1" xfId="0" applyNumberFormat="1" applyFont="1" applyBorder="1" applyAlignment="1" applyProtection="1">
      <alignment vertical="center"/>
      <protection locked="0"/>
    </xf>
    <xf numFmtId="9" fontId="10" fillId="0" borderId="1" xfId="4" applyFont="1" applyFill="1" applyBorder="1" applyAlignment="1" applyProtection="1">
      <alignment horizontal="center" vertical="center"/>
      <protection locked="0"/>
    </xf>
    <xf numFmtId="167" fontId="1" fillId="0" borderId="1" xfId="0" quotePrefix="1" applyNumberFormat="1" applyFont="1" applyBorder="1" applyAlignment="1">
      <alignment horizontal="right" vertical="center"/>
    </xf>
    <xf numFmtId="167" fontId="6" fillId="4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0" fontId="7" fillId="3" borderId="0" xfId="0" applyFont="1" applyFill="1" applyAlignment="1">
      <alignment vertical="center"/>
    </xf>
    <xf numFmtId="1" fontId="7" fillId="3" borderId="0" xfId="0" applyNumberFormat="1" applyFont="1" applyFill="1" applyAlignment="1">
      <alignment horizontal="center" vertical="center"/>
    </xf>
    <xf numFmtId="167" fontId="7" fillId="3" borderId="0" xfId="3" applyNumberFormat="1" applyFont="1" applyFill="1" applyBorder="1" applyAlignment="1" applyProtection="1">
      <alignment vertical="center"/>
    </xf>
    <xf numFmtId="167" fontId="7" fillId="3" borderId="0" xfId="0" applyNumberFormat="1" applyFont="1" applyFill="1" applyAlignment="1">
      <alignment vertical="center"/>
    </xf>
    <xf numFmtId="167" fontId="4" fillId="4" borderId="1" xfId="0" applyNumberFormat="1" applyFont="1" applyFill="1" applyBorder="1" applyAlignment="1">
      <alignment horizontal="right" vertical="center"/>
    </xf>
    <xf numFmtId="0" fontId="26" fillId="3" borderId="0" xfId="0" applyFont="1" applyFill="1"/>
    <xf numFmtId="0" fontId="26" fillId="3" borderId="0" xfId="0" applyFont="1" applyFill="1" applyAlignment="1">
      <alignment horizontal="center"/>
    </xf>
    <xf numFmtId="0" fontId="22" fillId="3" borderId="0" xfId="0" applyFont="1" applyFill="1"/>
    <xf numFmtId="0" fontId="26" fillId="0" borderId="0" xfId="0" applyFont="1"/>
    <xf numFmtId="0" fontId="22" fillId="3" borderId="0" xfId="0" applyFont="1" applyFill="1" applyAlignment="1">
      <alignment wrapText="1"/>
    </xf>
    <xf numFmtId="0" fontId="26" fillId="3" borderId="0" xfId="0" applyFont="1" applyFill="1" applyAlignment="1">
      <alignment wrapText="1"/>
    </xf>
    <xf numFmtId="0" fontId="26" fillId="3" borderId="1" xfId="0" applyFont="1" applyFill="1" applyBorder="1" applyAlignment="1">
      <alignment wrapText="1"/>
    </xf>
    <xf numFmtId="167" fontId="21" fillId="3" borderId="1" xfId="0" applyNumberFormat="1" applyFont="1" applyFill="1" applyBorder="1"/>
    <xf numFmtId="167" fontId="1" fillId="0" borderId="1" xfId="2" applyNumberFormat="1" applyFont="1" applyBorder="1" applyProtection="1">
      <protection locked="0"/>
    </xf>
    <xf numFmtId="0" fontId="26" fillId="3" borderId="1" xfId="0" applyFont="1" applyFill="1" applyBorder="1" applyAlignment="1">
      <alignment horizontal="center"/>
    </xf>
    <xf numFmtId="0" fontId="26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28" fillId="0" borderId="0" xfId="0" applyFont="1" applyAlignment="1" applyProtection="1">
      <alignment horizontal="right" vertical="center"/>
      <protection locked="0"/>
    </xf>
    <xf numFmtId="0" fontId="28" fillId="2" borderId="1" xfId="0" applyFont="1" applyFill="1" applyBorder="1" applyAlignment="1" applyProtection="1">
      <alignment horizontal="center" vertical="center"/>
      <protection locked="0"/>
    </xf>
    <xf numFmtId="1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3" fontId="1" fillId="0" borderId="1" xfId="0" applyNumberFormat="1" applyFont="1" applyBorder="1" applyAlignment="1" applyProtection="1">
      <alignment horizontal="center" vertical="center" wrapText="1"/>
      <protection locked="0"/>
    </xf>
    <xf numFmtId="3" fontId="1" fillId="2" borderId="1" xfId="0" applyNumberFormat="1" applyFont="1" applyFill="1" applyBorder="1" applyAlignment="1" applyProtection="1">
      <alignment vertical="center" wrapText="1"/>
      <protection locked="0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 applyProtection="1">
      <alignment vertical="center"/>
      <protection locked="0"/>
    </xf>
    <xf numFmtId="169" fontId="1" fillId="0" borderId="0" xfId="4" applyNumberFormat="1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vertical="center" wrapText="1"/>
    </xf>
    <xf numFmtId="0" fontId="6" fillId="0" borderId="0" xfId="0" applyFont="1" applyAlignment="1" applyProtection="1">
      <alignment vertical="center" wrapText="1"/>
      <protection locked="0"/>
    </xf>
    <xf numFmtId="169" fontId="26" fillId="0" borderId="0" xfId="4" applyNumberFormat="1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169" fontId="32" fillId="4" borderId="0" xfId="4" applyNumberFormat="1" applyFont="1" applyFill="1" applyAlignment="1" applyProtection="1">
      <alignment horizontal="center" vertical="center"/>
      <protection locked="0"/>
    </xf>
    <xf numFmtId="0" fontId="31" fillId="5" borderId="17" xfId="0" applyFont="1" applyFill="1" applyBorder="1" applyAlignment="1" applyProtection="1">
      <alignment horizontal="left" vertical="center" wrapText="1"/>
      <protection locked="0"/>
    </xf>
    <xf numFmtId="0" fontId="30" fillId="5" borderId="0" xfId="0" applyFont="1" applyFill="1" applyAlignment="1" applyProtection="1">
      <alignment horizontal="center" vertical="center" wrapText="1"/>
      <protection locked="0"/>
    </xf>
    <xf numFmtId="10" fontId="26" fillId="0" borderId="1" xfId="4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18" fillId="4" borderId="1" xfId="0" applyFont="1" applyFill="1" applyBorder="1" applyAlignment="1" applyProtection="1">
      <alignment horizontal="center" vertical="center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3" fontId="18" fillId="5" borderId="1" xfId="0" applyNumberFormat="1" applyFont="1" applyFill="1" applyBorder="1" applyAlignment="1" applyProtection="1">
      <alignment vertical="center" wrapText="1"/>
      <protection locked="0"/>
    </xf>
    <xf numFmtId="3" fontId="18" fillId="5" borderId="1" xfId="0" applyNumberFormat="1" applyFont="1" applyFill="1" applyBorder="1" applyAlignment="1" applyProtection="1">
      <alignment horizontal="center" vertical="center" wrapText="1"/>
      <protection locked="0"/>
    </xf>
    <xf numFmtId="10" fontId="28" fillId="0" borderId="1" xfId="4" applyNumberFormat="1" applyFont="1" applyBorder="1" applyAlignment="1" applyProtection="1">
      <alignment horizontal="center" vertical="center"/>
      <protection locked="0"/>
    </xf>
    <xf numFmtId="0" fontId="25" fillId="4" borderId="1" xfId="0" applyFont="1" applyFill="1" applyBorder="1" applyAlignment="1" applyProtection="1">
      <alignment horizontal="center" vertical="center"/>
      <protection locked="0"/>
    </xf>
    <xf numFmtId="3" fontId="18" fillId="4" borderId="1" xfId="0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18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8" fillId="4" borderId="1" xfId="0" applyFont="1" applyFill="1" applyBorder="1" applyAlignment="1" applyProtection="1">
      <alignment horizontal="right" vertical="center" wrapText="1"/>
      <protection locked="0"/>
    </xf>
    <xf numFmtId="3" fontId="18" fillId="0" borderId="1" xfId="0" applyNumberFormat="1" applyFont="1" applyBorder="1" applyAlignment="1" applyProtection="1">
      <alignment horizontal="right" vertical="center" wrapText="1"/>
      <protection locked="0"/>
    </xf>
    <xf numFmtId="173" fontId="1" fillId="0" borderId="1" xfId="0" applyNumberFormat="1" applyFont="1" applyBorder="1" applyAlignment="1" applyProtection="1">
      <alignment horizontal="center" vertical="center" wrapText="1"/>
      <protection locked="0"/>
    </xf>
    <xf numFmtId="10" fontId="29" fillId="4" borderId="0" xfId="4" applyNumberFormat="1" applyFont="1" applyFill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0" fontId="34" fillId="0" borderId="0" xfId="0" applyFont="1" applyAlignment="1" applyProtection="1">
      <alignment horizontal="center" wrapText="1"/>
      <protection locked="0"/>
    </xf>
    <xf numFmtId="0" fontId="19" fillId="0" borderId="0" xfId="0" applyFont="1" applyAlignment="1" applyProtection="1">
      <alignment wrapText="1"/>
      <protection locked="0"/>
    </xf>
    <xf numFmtId="3" fontId="19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3" fontId="26" fillId="0" borderId="0" xfId="0" applyNumberFormat="1" applyFont="1"/>
    <xf numFmtId="0" fontId="35" fillId="0" borderId="1" xfId="0" applyFont="1" applyBorder="1" applyAlignment="1" applyProtection="1">
      <alignment wrapText="1"/>
      <protection locked="0"/>
    </xf>
    <xf numFmtId="3" fontId="35" fillId="0" borderId="1" xfId="0" applyNumberFormat="1" applyFont="1" applyBorder="1" applyAlignment="1" applyProtection="1">
      <alignment horizontal="center" wrapText="1"/>
      <protection locked="0"/>
    </xf>
    <xf numFmtId="3" fontId="5" fillId="0" borderId="3" xfId="0" applyNumberFormat="1" applyFont="1" applyBorder="1" applyAlignment="1" applyProtection="1">
      <alignment wrapText="1"/>
      <protection locked="0"/>
    </xf>
    <xf numFmtId="1" fontId="5" fillId="0" borderId="1" xfId="0" applyNumberFormat="1" applyFont="1" applyBorder="1" applyAlignment="1" applyProtection="1">
      <alignment horizontal="center" wrapText="1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0" fontId="34" fillId="4" borderId="1" xfId="0" applyFont="1" applyFill="1" applyBorder="1" applyAlignment="1" applyProtection="1">
      <alignment horizontal="center" vertical="center" wrapText="1"/>
      <protection locked="0"/>
    </xf>
    <xf numFmtId="9" fontId="34" fillId="4" borderId="1" xfId="0" quotePrefix="1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wrapText="1"/>
    </xf>
    <xf numFmtId="3" fontId="19" fillId="4" borderId="1" xfId="0" applyNumberFormat="1" applyFont="1" applyFill="1" applyBorder="1" applyAlignment="1">
      <alignment wrapText="1"/>
    </xf>
    <xf numFmtId="0" fontId="5" fillId="2" borderId="1" xfId="0" applyFont="1" applyFill="1" applyBorder="1" applyAlignment="1" applyProtection="1">
      <alignment wrapText="1"/>
      <protection locked="0"/>
    </xf>
    <xf numFmtId="3" fontId="5" fillId="2" borderId="1" xfId="0" applyNumberFormat="1" applyFont="1" applyFill="1" applyBorder="1" applyAlignment="1" applyProtection="1">
      <alignment horizont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3" fontId="5" fillId="2" borderId="1" xfId="0" applyNumberFormat="1" applyFont="1" applyFill="1" applyBorder="1" applyAlignment="1" applyProtection="1">
      <alignment wrapText="1"/>
      <protection locked="0"/>
    </xf>
    <xf numFmtId="3" fontId="5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3" fontId="19" fillId="4" borderId="1" xfId="0" applyNumberFormat="1" applyFont="1" applyFill="1" applyBorder="1" applyAlignment="1" applyProtection="1">
      <alignment horizontal="center" wrapText="1"/>
      <protection locked="0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3" fontId="19" fillId="4" borderId="13" xfId="0" applyNumberFormat="1" applyFont="1" applyFill="1" applyBorder="1" applyAlignment="1">
      <alignment wrapText="1"/>
    </xf>
    <xf numFmtId="3" fontId="19" fillId="4" borderId="1" xfId="0" applyNumberFormat="1" applyFont="1" applyFill="1" applyBorder="1" applyAlignment="1" applyProtection="1">
      <alignment wrapText="1"/>
      <protection locked="0"/>
    </xf>
    <xf numFmtId="0" fontId="34" fillId="4" borderId="3" xfId="0" applyFont="1" applyFill="1" applyBorder="1" applyAlignment="1" applyProtection="1">
      <alignment horizontal="center" vertical="center" wrapText="1"/>
      <protection locked="0"/>
    </xf>
    <xf numFmtId="3" fontId="19" fillId="4" borderId="14" xfId="0" applyNumberFormat="1" applyFont="1" applyFill="1" applyBorder="1" applyAlignment="1" applyProtection="1">
      <alignment wrapText="1"/>
      <protection locked="0"/>
    </xf>
    <xf numFmtId="3" fontId="19" fillId="4" borderId="15" xfId="0" applyNumberFormat="1" applyFont="1" applyFill="1" applyBorder="1" applyAlignment="1">
      <alignment wrapText="1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34" fillId="4" borderId="1" xfId="0" applyFont="1" applyFill="1" applyBorder="1" applyAlignment="1" applyProtection="1">
      <alignment vertical="center" wrapText="1"/>
      <protection locked="0"/>
    </xf>
    <xf numFmtId="3" fontId="5" fillId="0" borderId="1" xfId="0" applyNumberFormat="1" applyFont="1" applyBorder="1" applyAlignment="1">
      <alignment vertical="center" wrapText="1"/>
    </xf>
    <xf numFmtId="0" fontId="34" fillId="4" borderId="1" xfId="0" applyFont="1" applyFill="1" applyBorder="1" applyAlignment="1" applyProtection="1">
      <alignment horizontal="center" wrapText="1"/>
      <protection locked="0"/>
    </xf>
    <xf numFmtId="3" fontId="37" fillId="4" borderId="1" xfId="0" applyNumberFormat="1" applyFont="1" applyFill="1" applyBorder="1" applyAlignment="1">
      <alignment wrapText="1"/>
    </xf>
    <xf numFmtId="0" fontId="38" fillId="0" borderId="0" xfId="0" applyFont="1" applyProtection="1">
      <protection locked="0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3" fontId="28" fillId="0" borderId="57" xfId="0" applyNumberFormat="1" applyFont="1" applyBorder="1" applyAlignment="1">
      <alignment horizontal="center"/>
    </xf>
    <xf numFmtId="3" fontId="18" fillId="5" borderId="35" xfId="0" applyNumberFormat="1" applyFont="1" applyFill="1" applyBorder="1" applyAlignment="1">
      <alignment horizontal="center" vertical="center" textRotation="90"/>
    </xf>
    <xf numFmtId="3" fontId="18" fillId="5" borderId="36" xfId="0" applyNumberFormat="1" applyFont="1" applyFill="1" applyBorder="1" applyAlignment="1">
      <alignment horizontal="center" vertical="center"/>
    </xf>
    <xf numFmtId="3" fontId="18" fillId="5" borderId="36" xfId="0" applyNumberFormat="1" applyFont="1" applyFill="1" applyBorder="1" applyAlignment="1">
      <alignment horizontal="center" vertical="center" textRotation="90" wrapText="1"/>
    </xf>
    <xf numFmtId="3" fontId="18" fillId="5" borderId="73" xfId="0" applyNumberFormat="1" applyFont="1" applyFill="1" applyBorder="1" applyAlignment="1">
      <alignment horizontal="center" vertical="center" textRotation="90" wrapText="1"/>
    </xf>
    <xf numFmtId="3" fontId="18" fillId="5" borderId="37" xfId="0" applyNumberFormat="1" applyFont="1" applyFill="1" applyBorder="1" applyAlignment="1">
      <alignment horizontal="center" vertical="center" textRotation="90" wrapText="1"/>
    </xf>
    <xf numFmtId="3" fontId="21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/>
    </xf>
    <xf numFmtId="3" fontId="26" fillId="0" borderId="0" xfId="0" applyNumberFormat="1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169" fontId="21" fillId="0" borderId="0" xfId="4" applyNumberFormat="1" applyFont="1" applyAlignment="1">
      <alignment horizontal="center" vertical="center"/>
    </xf>
    <xf numFmtId="3" fontId="28" fillId="0" borderId="0" xfId="0" applyNumberFormat="1" applyFont="1" applyAlignment="1">
      <alignment horizontal="center"/>
    </xf>
    <xf numFmtId="3" fontId="37" fillId="4" borderId="26" xfId="0" applyNumberFormat="1" applyFont="1" applyFill="1" applyBorder="1" applyAlignment="1">
      <alignment horizontal="center" wrapText="1"/>
    </xf>
    <xf numFmtId="3" fontId="37" fillId="4" borderId="24" xfId="0" applyNumberFormat="1" applyFont="1" applyFill="1" applyBorder="1" applyAlignment="1">
      <alignment horizontal="center" wrapText="1"/>
    </xf>
    <xf numFmtId="3" fontId="37" fillId="4" borderId="20" xfId="0" applyNumberFormat="1" applyFont="1" applyFill="1" applyBorder="1" applyAlignment="1">
      <alignment horizontal="center" wrapText="1"/>
    </xf>
    <xf numFmtId="3" fontId="28" fillId="0" borderId="0" xfId="0" applyNumberFormat="1" applyFont="1" applyAlignment="1">
      <alignment horizontal="center" wrapText="1"/>
    </xf>
    <xf numFmtId="3" fontId="26" fillId="0" borderId="0" xfId="0" applyNumberFormat="1" applyFont="1" applyAlignment="1">
      <alignment wrapText="1"/>
    </xf>
    <xf numFmtId="169" fontId="21" fillId="0" borderId="0" xfId="4" applyNumberFormat="1" applyFont="1" applyAlignment="1">
      <alignment horizontal="center" vertical="center" wrapText="1"/>
    </xf>
    <xf numFmtId="3" fontId="28" fillId="0" borderId="23" xfId="0" applyNumberFormat="1" applyFont="1" applyBorder="1"/>
    <xf numFmtId="3" fontId="28" fillId="0" borderId="27" xfId="0" applyNumberFormat="1" applyFont="1" applyBorder="1" applyAlignment="1">
      <alignment horizontal="center"/>
    </xf>
    <xf numFmtId="3" fontId="28" fillId="0" borderId="22" xfId="0" applyNumberFormat="1" applyFont="1" applyBorder="1" applyAlignment="1">
      <alignment horizontal="center"/>
    </xf>
    <xf numFmtId="3" fontId="28" fillId="0" borderId="25" xfId="0" applyNumberFormat="1" applyFont="1" applyBorder="1" applyAlignment="1">
      <alignment horizontal="center"/>
    </xf>
    <xf numFmtId="3" fontId="28" fillId="0" borderId="29" xfId="0" applyNumberFormat="1" applyFont="1" applyBorder="1"/>
    <xf numFmtId="3" fontId="28" fillId="0" borderId="26" xfId="0" applyNumberFormat="1" applyFont="1" applyBorder="1" applyAlignment="1">
      <alignment horizontal="center"/>
    </xf>
    <xf numFmtId="3" fontId="28" fillId="0" borderId="20" xfId="0" applyNumberFormat="1" applyFont="1" applyBorder="1" applyAlignment="1">
      <alignment horizontal="center"/>
    </xf>
    <xf numFmtId="3" fontId="28" fillId="0" borderId="24" xfId="0" applyNumberFormat="1" applyFont="1" applyBorder="1" applyAlignment="1">
      <alignment horizontal="center"/>
    </xf>
    <xf numFmtId="3" fontId="28" fillId="0" borderId="28" xfId="0" applyNumberFormat="1" applyFont="1" applyBorder="1"/>
    <xf numFmtId="3" fontId="28" fillId="0" borderId="31" xfId="0" applyNumberFormat="1" applyFont="1" applyBorder="1" applyAlignment="1">
      <alignment horizontal="center"/>
    </xf>
    <xf numFmtId="3" fontId="28" fillId="0" borderId="21" xfId="0" applyNumberFormat="1" applyFont="1" applyBorder="1" applyAlignment="1">
      <alignment horizontal="center"/>
    </xf>
    <xf numFmtId="3" fontId="28" fillId="0" borderId="30" xfId="0" applyNumberFormat="1" applyFont="1" applyBorder="1" applyAlignment="1">
      <alignment horizontal="center"/>
    </xf>
    <xf numFmtId="3" fontId="28" fillId="0" borderId="32" xfId="0" applyNumberFormat="1" applyFont="1" applyBorder="1"/>
    <xf numFmtId="3" fontId="28" fillId="0" borderId="35" xfId="0" applyNumberFormat="1" applyFont="1" applyBorder="1" applyAlignment="1">
      <alignment horizontal="center"/>
    </xf>
    <xf numFmtId="3" fontId="21" fillId="0" borderId="0" xfId="0" applyNumberFormat="1" applyFont="1" applyAlignment="1">
      <alignment vertical="center"/>
    </xf>
    <xf numFmtId="169" fontId="18" fillId="4" borderId="0" xfId="4" applyNumberFormat="1" applyFont="1" applyFill="1" applyAlignment="1">
      <alignment horizontal="center" vertical="center"/>
    </xf>
    <xf numFmtId="4" fontId="26" fillId="0" borderId="0" xfId="0" applyNumberFormat="1" applyFont="1"/>
    <xf numFmtId="3" fontId="28" fillId="0" borderId="0" xfId="0" applyNumberFormat="1" applyFont="1"/>
    <xf numFmtId="3" fontId="26" fillId="0" borderId="0" xfId="0" applyNumberFormat="1" applyFont="1" applyAlignment="1">
      <alignment horizontal="right"/>
    </xf>
    <xf numFmtId="3" fontId="25" fillId="4" borderId="26" xfId="0" applyNumberFormat="1" applyFont="1" applyFill="1" applyBorder="1" applyAlignment="1">
      <alignment horizontal="center"/>
    </xf>
    <xf numFmtId="3" fontId="25" fillId="4" borderId="20" xfId="0" applyNumberFormat="1" applyFont="1" applyFill="1" applyBorder="1" applyAlignment="1">
      <alignment horizontal="center"/>
    </xf>
    <xf numFmtId="3" fontId="25" fillId="4" borderId="24" xfId="0" applyNumberFormat="1" applyFont="1" applyFill="1" applyBorder="1" applyAlignment="1">
      <alignment horizontal="center"/>
    </xf>
    <xf numFmtId="3" fontId="37" fillId="5" borderId="26" xfId="0" applyNumberFormat="1" applyFont="1" applyFill="1" applyBorder="1" applyAlignment="1">
      <alignment horizontal="center"/>
    </xf>
    <xf numFmtId="3" fontId="37" fillId="5" borderId="42" xfId="0" applyNumberFormat="1" applyFont="1" applyFill="1" applyBorder="1" applyAlignment="1">
      <alignment horizontal="center"/>
    </xf>
    <xf numFmtId="3" fontId="37" fillId="5" borderId="43" xfId="0" applyNumberFormat="1" applyFont="1" applyFill="1" applyBorder="1" applyAlignment="1">
      <alignment horizontal="center"/>
    </xf>
    <xf numFmtId="3" fontId="28" fillId="0" borderId="23" xfId="0" applyNumberFormat="1" applyFont="1" applyBorder="1" applyAlignment="1">
      <alignment vertical="center"/>
    </xf>
    <xf numFmtId="3" fontId="25" fillId="4" borderId="27" xfId="0" applyNumberFormat="1" applyFont="1" applyFill="1" applyBorder="1" applyAlignment="1">
      <alignment horizontal="center" vertical="center"/>
    </xf>
    <xf numFmtId="3" fontId="25" fillId="4" borderId="22" xfId="0" applyNumberFormat="1" applyFont="1" applyFill="1" applyBorder="1" applyAlignment="1">
      <alignment horizontal="center" vertical="center"/>
    </xf>
    <xf numFmtId="3" fontId="28" fillId="0" borderId="27" xfId="0" applyNumberFormat="1" applyFont="1" applyBorder="1" applyAlignment="1">
      <alignment horizontal="center" vertical="center"/>
    </xf>
    <xf numFmtId="3" fontId="28" fillId="0" borderId="22" xfId="0" applyNumberFormat="1" applyFont="1" applyBorder="1" applyAlignment="1">
      <alignment horizontal="center" vertical="center"/>
    </xf>
    <xf numFmtId="3" fontId="26" fillId="0" borderId="0" xfId="0" applyNumberFormat="1" applyFont="1" applyAlignment="1">
      <alignment vertical="center"/>
    </xf>
    <xf numFmtId="3" fontId="26" fillId="0" borderId="27" xfId="0" applyNumberFormat="1" applyFont="1" applyBorder="1" applyAlignment="1">
      <alignment horizontal="center" vertical="center"/>
    </xf>
    <xf numFmtId="3" fontId="26" fillId="0" borderId="49" xfId="0" applyNumberFormat="1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3" fontId="26" fillId="0" borderId="39" xfId="0" applyNumberFormat="1" applyFont="1" applyBorder="1" applyAlignment="1">
      <alignment horizontal="center" vertical="center"/>
    </xf>
    <xf numFmtId="3" fontId="26" fillId="0" borderId="21" xfId="0" applyNumberFormat="1" applyFont="1" applyBorder="1" applyAlignment="1">
      <alignment horizontal="center" vertical="center"/>
    </xf>
    <xf numFmtId="3" fontId="28" fillId="0" borderId="29" xfId="0" applyNumberFormat="1" applyFont="1" applyBorder="1" applyAlignment="1">
      <alignment vertical="center"/>
    </xf>
    <xf numFmtId="3" fontId="28" fillId="0" borderId="51" xfId="0" applyNumberFormat="1" applyFont="1" applyBorder="1" applyAlignment="1">
      <alignment horizontal="center" vertical="center"/>
    </xf>
    <xf numFmtId="3" fontId="28" fillId="0" borderId="54" xfId="0" applyNumberFormat="1" applyFont="1" applyBorder="1" applyAlignment="1">
      <alignment horizontal="center" vertical="center"/>
    </xf>
    <xf numFmtId="3" fontId="25" fillId="4" borderId="26" xfId="0" applyNumberFormat="1" applyFont="1" applyFill="1" applyBorder="1" applyAlignment="1">
      <alignment horizontal="center" vertical="center"/>
    </xf>
    <xf numFmtId="3" fontId="25" fillId="4" borderId="20" xfId="0" applyNumberFormat="1" applyFont="1" applyFill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3" fontId="28" fillId="0" borderId="20" xfId="0" applyNumberFormat="1" applyFont="1" applyBorder="1" applyAlignment="1">
      <alignment horizontal="center" vertical="center"/>
    </xf>
    <xf numFmtId="3" fontId="26" fillId="0" borderId="51" xfId="0" applyNumberFormat="1" applyFont="1" applyBorder="1" applyAlignment="1">
      <alignment horizontal="center" vertical="center"/>
    </xf>
    <xf numFmtId="3" fontId="26" fillId="0" borderId="42" xfId="0" applyNumberFormat="1" applyFont="1" applyBorder="1" applyAlignment="1">
      <alignment horizontal="center" vertical="center"/>
    </xf>
    <xf numFmtId="3" fontId="26" fillId="0" borderId="20" xfId="0" applyNumberFormat="1" applyFont="1" applyBorder="1" applyAlignment="1">
      <alignment horizontal="center" vertical="center"/>
    </xf>
    <xf numFmtId="3" fontId="26" fillId="0" borderId="46" xfId="0" applyNumberFormat="1" applyFont="1" applyBorder="1" applyAlignment="1">
      <alignment horizontal="center" vertical="center"/>
    </xf>
    <xf numFmtId="3" fontId="26" fillId="0" borderId="48" xfId="0" applyNumberFormat="1" applyFont="1" applyBorder="1" applyAlignment="1">
      <alignment horizontal="center" vertical="center"/>
    </xf>
    <xf numFmtId="3" fontId="26" fillId="0" borderId="40" xfId="0" applyNumberFormat="1" applyFont="1" applyBorder="1" applyAlignment="1">
      <alignment horizontal="center" vertical="center"/>
    </xf>
    <xf numFmtId="3" fontId="28" fillId="0" borderId="28" xfId="0" applyNumberFormat="1" applyFont="1" applyBorder="1" applyAlignment="1">
      <alignment vertical="center"/>
    </xf>
    <xf numFmtId="3" fontId="26" fillId="0" borderId="59" xfId="0" applyNumberFormat="1" applyFont="1" applyBorder="1" applyAlignment="1">
      <alignment horizontal="center" vertical="center"/>
    </xf>
    <xf numFmtId="3" fontId="28" fillId="0" borderId="41" xfId="0" applyNumberFormat="1" applyFont="1" applyBorder="1" applyAlignment="1">
      <alignment vertical="center"/>
    </xf>
    <xf numFmtId="3" fontId="25" fillId="4" borderId="32" xfId="0" applyNumberFormat="1" applyFont="1" applyFill="1" applyBorder="1" applyAlignment="1">
      <alignment horizontal="center" vertical="center"/>
    </xf>
    <xf numFmtId="3" fontId="25" fillId="4" borderId="35" xfId="0" applyNumberFormat="1" applyFont="1" applyFill="1" applyBorder="1" applyAlignment="1">
      <alignment horizontal="center" vertical="center"/>
    </xf>
    <xf numFmtId="3" fontId="25" fillId="4" borderId="37" xfId="0" applyNumberFormat="1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center" vertical="center"/>
    </xf>
    <xf numFmtId="3" fontId="21" fillId="0" borderId="0" xfId="0" applyNumberFormat="1" applyFont="1"/>
    <xf numFmtId="3" fontId="26" fillId="6" borderId="1" xfId="0" applyNumberFormat="1" applyFont="1" applyFill="1" applyBorder="1"/>
    <xf numFmtId="9" fontId="26" fillId="0" borderId="1" xfId="4" applyFont="1" applyBorder="1"/>
    <xf numFmtId="3" fontId="26" fillId="0" borderId="1" xfId="0" applyNumberFormat="1" applyFont="1" applyBorder="1"/>
    <xf numFmtId="3" fontId="26" fillId="7" borderId="1" xfId="0" applyNumberFormat="1" applyFont="1" applyFill="1" applyBorder="1"/>
    <xf numFmtId="3" fontId="26" fillId="8" borderId="1" xfId="0" applyNumberFormat="1" applyFont="1" applyFill="1" applyBorder="1"/>
    <xf numFmtId="3" fontId="25" fillId="4" borderId="1" xfId="0" applyNumberFormat="1" applyFont="1" applyFill="1" applyBorder="1" applyAlignment="1">
      <alignment horizontal="center"/>
    </xf>
    <xf numFmtId="9" fontId="25" fillId="4" borderId="1" xfId="4" applyFont="1" applyFill="1" applyBorder="1"/>
    <xf numFmtId="3" fontId="25" fillId="4" borderId="1" xfId="0" applyNumberFormat="1" applyFont="1" applyFill="1" applyBorder="1"/>
    <xf numFmtId="3" fontId="32" fillId="4" borderId="1" xfId="0" applyNumberFormat="1" applyFont="1" applyFill="1" applyBorder="1"/>
    <xf numFmtId="0" fontId="39" fillId="0" borderId="1" xfId="0" applyFont="1" applyBorder="1" applyProtection="1">
      <protection locked="0"/>
    </xf>
    <xf numFmtId="170" fontId="39" fillId="0" borderId="1" xfId="1" applyNumberFormat="1" applyFont="1" applyFill="1" applyBorder="1" applyProtection="1">
      <protection locked="0"/>
    </xf>
    <xf numFmtId="170" fontId="39" fillId="0" borderId="1" xfId="1" applyNumberFormat="1" applyFont="1" applyFill="1" applyBorder="1" applyProtection="1"/>
    <xf numFmtId="0" fontId="37" fillId="4" borderId="1" xfId="0" applyFont="1" applyFill="1" applyBorder="1" applyAlignment="1" applyProtection="1">
      <alignment horizontal="center" vertical="center" wrapText="1"/>
      <protection locked="0"/>
    </xf>
    <xf numFmtId="0" fontId="37" fillId="4" borderId="1" xfId="0" applyFont="1" applyFill="1" applyBorder="1" applyAlignment="1" applyProtection="1">
      <alignment horizontal="center" vertical="center"/>
      <protection locked="0"/>
    </xf>
    <xf numFmtId="0" fontId="25" fillId="4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42" fillId="0" borderId="0" xfId="0" applyFont="1"/>
    <xf numFmtId="0" fontId="43" fillId="0" borderId="0" xfId="0" applyFont="1"/>
    <xf numFmtId="175" fontId="42" fillId="0" borderId="0" xfId="0" applyNumberFormat="1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 wrapText="1"/>
    </xf>
    <xf numFmtId="3" fontId="42" fillId="0" borderId="0" xfId="0" applyNumberFormat="1" applyFont="1" applyAlignment="1">
      <alignment horizontal="center"/>
    </xf>
    <xf numFmtId="166" fontId="42" fillId="0" borderId="0" xfId="1" applyFont="1" applyAlignment="1" applyProtection="1">
      <alignment horizontal="center"/>
    </xf>
    <xf numFmtId="174" fontId="42" fillId="0" borderId="0" xfId="4" applyNumberFormat="1" applyFont="1" applyProtection="1"/>
    <xf numFmtId="176" fontId="42" fillId="0" borderId="0" xfId="1" applyNumberFormat="1" applyFont="1" applyProtection="1"/>
    <xf numFmtId="0" fontId="20" fillId="5" borderId="1" xfId="0" applyFont="1" applyFill="1" applyBorder="1" applyAlignment="1">
      <alignment horizontal="center" vertical="center" wrapText="1"/>
    </xf>
    <xf numFmtId="0" fontId="43" fillId="0" borderId="1" xfId="0" applyFont="1" applyBorder="1"/>
    <xf numFmtId="164" fontId="43" fillId="0" borderId="1" xfId="5" applyNumberFormat="1" applyFont="1" applyBorder="1"/>
    <xf numFmtId="164" fontId="43" fillId="0" borderId="1" xfId="0" applyNumberFormat="1" applyFont="1" applyBorder="1"/>
    <xf numFmtId="0" fontId="42" fillId="0" borderId="1" xfId="0" applyFont="1" applyBorder="1"/>
    <xf numFmtId="171" fontId="43" fillId="0" borderId="1" xfId="1" applyNumberFormat="1" applyFont="1" applyFill="1" applyBorder="1" applyProtection="1"/>
    <xf numFmtId="0" fontId="26" fillId="0" borderId="1" xfId="0" applyFont="1" applyBorder="1" applyAlignment="1">
      <alignment vertical="center"/>
    </xf>
    <xf numFmtId="0" fontId="25" fillId="4" borderId="0" xfId="0" applyFont="1" applyFill="1" applyAlignment="1">
      <alignment horizontal="center" vertical="center"/>
    </xf>
    <xf numFmtId="3" fontId="25" fillId="4" borderId="0" xfId="0" applyNumberFormat="1" applyFont="1" applyFill="1" applyAlignment="1">
      <alignment horizontal="center" vertical="center"/>
    </xf>
    <xf numFmtId="0" fontId="26" fillId="0" borderId="1" xfId="0" applyFont="1" applyBorder="1" applyAlignment="1" applyProtection="1">
      <alignment vertical="center" wrapText="1"/>
      <protection locked="0"/>
    </xf>
    <xf numFmtId="3" fontId="22" fillId="2" borderId="0" xfId="0" applyNumberFormat="1" applyFont="1" applyFill="1" applyAlignment="1" applyProtection="1">
      <alignment horizontal="center" vertical="center"/>
      <protection locked="0"/>
    </xf>
    <xf numFmtId="9" fontId="18" fillId="4" borderId="0" xfId="0" applyNumberFormat="1" applyFont="1" applyFill="1" applyAlignment="1" applyProtection="1">
      <alignment horizontal="center"/>
      <protection locked="0"/>
    </xf>
    <xf numFmtId="3" fontId="18" fillId="5" borderId="71" xfId="0" applyNumberFormat="1" applyFont="1" applyFill="1" applyBorder="1" applyAlignment="1">
      <alignment horizontal="center" vertical="center" textRotation="90" wrapText="1"/>
    </xf>
    <xf numFmtId="3" fontId="18" fillId="5" borderId="70" xfId="0" applyNumberFormat="1" applyFont="1" applyFill="1" applyBorder="1" applyAlignment="1">
      <alignment horizontal="center" vertical="center" textRotation="90"/>
    </xf>
    <xf numFmtId="3" fontId="18" fillId="5" borderId="71" xfId="0" applyNumberFormat="1" applyFont="1" applyFill="1" applyBorder="1" applyAlignment="1">
      <alignment horizontal="center" vertical="center"/>
    </xf>
    <xf numFmtId="3" fontId="18" fillId="5" borderId="76" xfId="0" applyNumberFormat="1" applyFont="1" applyFill="1" applyBorder="1" applyAlignment="1">
      <alignment horizontal="center" vertical="center" textRotation="90" wrapText="1"/>
    </xf>
    <xf numFmtId="3" fontId="18" fillId="5" borderId="72" xfId="0" applyNumberFormat="1" applyFont="1" applyFill="1" applyBorder="1" applyAlignment="1">
      <alignment horizontal="center" vertical="center" textRotation="90" wrapText="1"/>
    </xf>
    <xf numFmtId="0" fontId="3" fillId="9" borderId="1" xfId="0" quotePrefix="1" applyFont="1" applyFill="1" applyBorder="1" applyAlignment="1" applyProtection="1">
      <alignment horizontal="center" vertical="center" wrapText="1"/>
      <protection locked="0"/>
    </xf>
    <xf numFmtId="14" fontId="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9" borderId="1" xfId="0" applyFont="1" applyFill="1" applyBorder="1" applyAlignment="1" applyProtection="1">
      <alignment horizontal="center" vertical="center"/>
      <protection locked="0"/>
    </xf>
    <xf numFmtId="3" fontId="1" fillId="9" borderId="1" xfId="0" applyNumberFormat="1" applyFont="1" applyFill="1" applyBorder="1" applyAlignment="1" applyProtection="1">
      <alignment vertical="center" wrapText="1"/>
      <protection locked="0"/>
    </xf>
    <xf numFmtId="3" fontId="1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9" borderId="1" xfId="0" applyFont="1" applyFill="1" applyBorder="1" applyAlignment="1" applyProtection="1">
      <alignment horizontal="center" vertical="center"/>
      <protection locked="0"/>
    </xf>
    <xf numFmtId="0" fontId="21" fillId="9" borderId="1" xfId="0" applyFont="1" applyFill="1" applyBorder="1" applyAlignment="1" applyProtection="1">
      <alignment horizontal="center" vertical="center"/>
      <protection locked="0"/>
    </xf>
    <xf numFmtId="3" fontId="22" fillId="9" borderId="0" xfId="0" applyNumberFormat="1" applyFont="1" applyFill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wrapText="1"/>
      <protection locked="0"/>
    </xf>
    <xf numFmtId="3" fontId="5" fillId="9" borderId="1" xfId="0" applyNumberFormat="1" applyFont="1" applyFill="1" applyBorder="1" applyAlignment="1" applyProtection="1">
      <alignment horizontal="center" wrapText="1"/>
      <protection locked="0"/>
    </xf>
    <xf numFmtId="3" fontId="5" fillId="9" borderId="1" xfId="0" applyNumberFormat="1" applyFont="1" applyFill="1" applyBorder="1" applyAlignment="1" applyProtection="1">
      <alignment wrapText="1"/>
      <protection locked="0"/>
    </xf>
    <xf numFmtId="3" fontId="35" fillId="9" borderId="1" xfId="0" applyNumberFormat="1" applyFont="1" applyFill="1" applyBorder="1" applyAlignment="1" applyProtection="1">
      <alignment horizontal="center" wrapText="1"/>
      <protection locked="0"/>
    </xf>
    <xf numFmtId="0" fontId="5" fillId="9" borderId="1" xfId="0" applyFont="1" applyFill="1" applyBorder="1" applyAlignment="1" applyProtection="1">
      <alignment horizontal="center" wrapText="1"/>
      <protection locked="0"/>
    </xf>
    <xf numFmtId="17" fontId="5" fillId="9" borderId="1" xfId="0" applyNumberFormat="1" applyFont="1" applyFill="1" applyBorder="1" applyAlignment="1" applyProtection="1">
      <alignment horizontal="center" wrapText="1"/>
      <protection locked="0"/>
    </xf>
    <xf numFmtId="0" fontId="1" fillId="9" borderId="1" xfId="0" applyFont="1" applyFill="1" applyBorder="1" applyAlignment="1" applyProtection="1">
      <alignment horizontal="center" wrapText="1"/>
      <protection locked="0"/>
    </xf>
    <xf numFmtId="0" fontId="5" fillId="9" borderId="4" xfId="0" applyFont="1" applyFill="1" applyBorder="1" applyAlignment="1" applyProtection="1">
      <alignment wrapText="1"/>
      <protection locked="0"/>
    </xf>
    <xf numFmtId="0" fontId="26" fillId="9" borderId="1" xfId="0" applyFont="1" applyFill="1" applyBorder="1" applyAlignment="1" applyProtection="1">
      <alignment horizontal="center" wrapText="1"/>
      <protection locked="0"/>
    </xf>
    <xf numFmtId="3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3" fontId="26" fillId="9" borderId="31" xfId="0" applyNumberFormat="1" applyFont="1" applyFill="1" applyBorder="1" applyAlignment="1">
      <alignment horizontal="center" vertical="center"/>
    </xf>
    <xf numFmtId="3" fontId="26" fillId="9" borderId="9" xfId="0" applyNumberFormat="1" applyFont="1" applyFill="1" applyBorder="1" applyAlignment="1">
      <alignment horizontal="center" vertical="center"/>
    </xf>
    <xf numFmtId="3" fontId="26" fillId="9" borderId="44" xfId="0" applyNumberFormat="1" applyFont="1" applyFill="1" applyBorder="1" applyAlignment="1">
      <alignment horizontal="center" vertical="center"/>
    </xf>
    <xf numFmtId="3" fontId="26" fillId="9" borderId="47" xfId="0" applyNumberFormat="1" applyFont="1" applyFill="1" applyBorder="1" applyAlignment="1">
      <alignment horizontal="center" vertical="center"/>
    </xf>
    <xf numFmtId="3" fontId="26" fillId="9" borderId="27" xfId="0" applyNumberFormat="1" applyFont="1" applyFill="1" applyBorder="1" applyAlignment="1">
      <alignment horizontal="center" vertical="center"/>
    </xf>
    <xf numFmtId="3" fontId="26" fillId="9" borderId="49" xfId="0" applyNumberFormat="1" applyFont="1" applyFill="1" applyBorder="1" applyAlignment="1">
      <alignment horizontal="center" vertical="center"/>
    </xf>
    <xf numFmtId="3" fontId="26" fillId="9" borderId="51" xfId="0" applyNumberFormat="1" applyFont="1" applyFill="1" applyBorder="1" applyAlignment="1">
      <alignment horizontal="center" vertical="center"/>
    </xf>
    <xf numFmtId="3" fontId="26" fillId="9" borderId="52" xfId="0" applyNumberFormat="1" applyFont="1" applyFill="1" applyBorder="1" applyAlignment="1">
      <alignment horizontal="center" vertical="center"/>
    </xf>
    <xf numFmtId="3" fontId="26" fillId="9" borderId="53" xfId="0" applyNumberFormat="1" applyFont="1" applyFill="1" applyBorder="1" applyAlignment="1">
      <alignment horizontal="center" vertical="center"/>
    </xf>
    <xf numFmtId="3" fontId="26" fillId="9" borderId="45" xfId="0" applyNumberFormat="1" applyFont="1" applyFill="1" applyBorder="1" applyAlignment="1">
      <alignment horizontal="center" vertical="center"/>
    </xf>
    <xf numFmtId="3" fontId="26" fillId="9" borderId="26" xfId="0" applyNumberFormat="1" applyFont="1" applyFill="1" applyBorder="1" applyAlignment="1">
      <alignment horizontal="center" vertical="center"/>
    </xf>
    <xf numFmtId="3" fontId="26" fillId="9" borderId="42" xfId="0" applyNumberFormat="1" applyFont="1" applyFill="1" applyBorder="1" applyAlignment="1">
      <alignment horizontal="center" vertical="center"/>
    </xf>
    <xf numFmtId="3" fontId="26" fillId="9" borderId="33" xfId="0" applyNumberFormat="1" applyFont="1" applyFill="1" applyBorder="1" applyAlignment="1">
      <alignment horizontal="center"/>
    </xf>
    <xf numFmtId="3" fontId="44" fillId="9" borderId="0" xfId="0" applyNumberFormat="1" applyFont="1" applyFill="1" applyAlignment="1">
      <alignment horizontal="center"/>
    </xf>
    <xf numFmtId="3" fontId="35" fillId="9" borderId="49" xfId="0" applyNumberFormat="1" applyFont="1" applyFill="1" applyBorder="1" applyAlignment="1">
      <alignment horizontal="center" vertical="center"/>
    </xf>
    <xf numFmtId="3" fontId="35" fillId="9" borderId="71" xfId="0" applyNumberFormat="1" applyFont="1" applyFill="1" applyBorder="1" applyAlignment="1">
      <alignment horizontal="center" vertical="center"/>
    </xf>
    <xf numFmtId="3" fontId="35" fillId="9" borderId="72" xfId="0" applyNumberFormat="1" applyFont="1" applyFill="1" applyBorder="1" applyAlignment="1">
      <alignment horizontal="center" vertical="center"/>
    </xf>
    <xf numFmtId="3" fontId="35" fillId="9" borderId="45" xfId="0" applyNumberFormat="1" applyFont="1" applyFill="1" applyBorder="1" applyAlignment="1">
      <alignment horizontal="center" vertical="center"/>
    </xf>
    <xf numFmtId="3" fontId="35" fillId="9" borderId="1" xfId="0" applyNumberFormat="1" applyFont="1" applyFill="1" applyBorder="1" applyAlignment="1">
      <alignment horizontal="center" vertical="center"/>
    </xf>
    <xf numFmtId="3" fontId="35" fillId="9" borderId="74" xfId="0" applyNumberFormat="1" applyFont="1" applyFill="1" applyBorder="1" applyAlignment="1">
      <alignment horizontal="center" vertical="center"/>
    </xf>
    <xf numFmtId="3" fontId="35" fillId="9" borderId="42" xfId="0" applyNumberFormat="1" applyFont="1" applyFill="1" applyBorder="1" applyAlignment="1">
      <alignment horizontal="center" vertical="center"/>
    </xf>
    <xf numFmtId="3" fontId="35" fillId="9" borderId="52" xfId="0" applyNumberFormat="1" applyFont="1" applyFill="1" applyBorder="1" applyAlignment="1">
      <alignment horizontal="center" vertical="center"/>
    </xf>
    <xf numFmtId="3" fontId="35" fillId="9" borderId="54" xfId="0" applyNumberFormat="1" applyFont="1" applyFill="1" applyBorder="1" applyAlignment="1">
      <alignment horizontal="center" vertical="center"/>
    </xf>
    <xf numFmtId="3" fontId="35" fillId="9" borderId="5" xfId="0" applyNumberFormat="1" applyFont="1" applyFill="1" applyBorder="1" applyAlignment="1">
      <alignment horizontal="center" vertical="center"/>
    </xf>
    <xf numFmtId="17" fontId="21" fillId="9" borderId="38" xfId="0" quotePrefix="1" applyNumberFormat="1" applyFont="1" applyFill="1" applyBorder="1" applyAlignment="1">
      <alignment vertical="center"/>
    </xf>
    <xf numFmtId="172" fontId="1" fillId="10" borderId="1" xfId="0" applyNumberFormat="1" applyFont="1" applyFill="1" applyBorder="1" applyAlignment="1">
      <alignment horizontal="center" vertical="center"/>
    </xf>
    <xf numFmtId="172" fontId="22" fillId="10" borderId="1" xfId="0" applyNumberFormat="1" applyFont="1" applyFill="1" applyBorder="1" applyAlignment="1">
      <alignment horizontal="center"/>
    </xf>
    <xf numFmtId="169" fontId="22" fillId="10" borderId="1" xfId="4" applyNumberFormat="1" applyFont="1" applyFill="1" applyBorder="1" applyAlignment="1" applyProtection="1">
      <alignment horizontal="center"/>
    </xf>
    <xf numFmtId="0" fontId="22" fillId="9" borderId="0" xfId="0" applyFont="1" applyFill="1" applyAlignment="1">
      <alignment wrapText="1"/>
    </xf>
    <xf numFmtId="0" fontId="0" fillId="0" borderId="0" xfId="0" applyAlignment="1">
      <alignment horizontal="center"/>
    </xf>
    <xf numFmtId="42" fontId="43" fillId="0" borderId="1" xfId="6" applyFont="1" applyBorder="1" applyProtection="1">
      <protection locked="0"/>
    </xf>
    <xf numFmtId="42" fontId="43" fillId="0" borderId="1" xfId="6" applyFont="1" applyFill="1" applyBorder="1" applyProtection="1">
      <protection locked="0"/>
    </xf>
    <xf numFmtId="0" fontId="26" fillId="3" borderId="5" xfId="0" applyFont="1" applyFill="1" applyBorder="1" applyAlignment="1">
      <alignment horizontal="left" vertical="center"/>
    </xf>
    <xf numFmtId="0" fontId="26" fillId="3" borderId="34" xfId="0" applyFont="1" applyFill="1" applyBorder="1" applyAlignment="1">
      <alignment horizontal="left" vertical="center"/>
    </xf>
    <xf numFmtId="0" fontId="28" fillId="3" borderId="5" xfId="0" applyFont="1" applyFill="1" applyBorder="1" applyAlignment="1">
      <alignment horizontal="left" vertical="center"/>
    </xf>
    <xf numFmtId="0" fontId="1" fillId="3" borderId="5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center" vertical="center"/>
    </xf>
    <xf numFmtId="0" fontId="1" fillId="3" borderId="66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right" vertical="center"/>
    </xf>
    <xf numFmtId="0" fontId="6" fillId="4" borderId="34" xfId="0" applyFont="1" applyFill="1" applyBorder="1" applyAlignment="1">
      <alignment horizontal="right" vertical="center"/>
    </xf>
    <xf numFmtId="0" fontId="18" fillId="5" borderId="5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8" fillId="5" borderId="34" xfId="0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right" vertical="center" wrapText="1"/>
    </xf>
    <xf numFmtId="49" fontId="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5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49" fontId="1" fillId="3" borderId="45" xfId="0" applyNumberFormat="1" applyFont="1" applyFill="1" applyBorder="1" applyAlignment="1">
      <alignment horizontal="center"/>
    </xf>
    <xf numFmtId="49" fontId="1" fillId="3" borderId="47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49" fontId="18" fillId="5" borderId="1" xfId="0" applyNumberFormat="1" applyFont="1" applyFill="1" applyBorder="1" applyAlignment="1">
      <alignment horizontal="center" vertical="center"/>
    </xf>
    <xf numFmtId="49" fontId="18" fillId="5" borderId="5" xfId="0" applyNumberFormat="1" applyFont="1" applyFill="1" applyBorder="1" applyAlignment="1">
      <alignment horizontal="center" vertical="center"/>
    </xf>
    <xf numFmtId="49" fontId="18" fillId="5" borderId="6" xfId="0" applyNumberFormat="1" applyFont="1" applyFill="1" applyBorder="1" applyAlignment="1">
      <alignment horizontal="center" vertical="center"/>
    </xf>
    <xf numFmtId="49" fontId="18" fillId="5" borderId="34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18" fillId="5" borderId="3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/>
    </xf>
    <xf numFmtId="0" fontId="18" fillId="5" borderId="5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3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6" fillId="0" borderId="55" xfId="0" applyFont="1" applyBorder="1" applyAlignment="1" applyProtection="1">
      <alignment horizontal="center" vertical="center"/>
      <protection locked="0"/>
    </xf>
    <xf numFmtId="0" fontId="26" fillId="0" borderId="7" xfId="0" applyFont="1" applyBorder="1" applyAlignment="1" applyProtection="1">
      <alignment horizontal="center" vertical="center"/>
      <protection locked="0"/>
    </xf>
    <xf numFmtId="0" fontId="26" fillId="0" borderId="58" xfId="0" applyFont="1" applyBorder="1" applyAlignment="1" applyProtection="1">
      <alignment horizontal="center" vertical="center"/>
      <protection locked="0"/>
    </xf>
    <xf numFmtId="0" fontId="26" fillId="0" borderId="68" xfId="0" applyFont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6" fillId="0" borderId="75" xfId="0" applyFont="1" applyBorder="1" applyAlignment="1" applyProtection="1">
      <alignment horizontal="center" vertical="center"/>
      <protection locked="0"/>
    </xf>
    <xf numFmtId="0" fontId="26" fillId="0" borderId="66" xfId="0" applyFont="1" applyBorder="1" applyAlignment="1" applyProtection="1">
      <alignment horizontal="center" vertical="center"/>
      <protection locked="0"/>
    </xf>
    <xf numFmtId="0" fontId="26" fillId="0" borderId="38" xfId="0" applyFont="1" applyBorder="1" applyAlignment="1" applyProtection="1">
      <alignment horizontal="center" vertical="center"/>
      <protection locked="0"/>
    </xf>
    <xf numFmtId="0" fontId="26" fillId="0" borderId="30" xfId="0" applyFont="1" applyBorder="1" applyAlignment="1" applyProtection="1">
      <alignment horizontal="center" vertical="center"/>
      <protection locked="0"/>
    </xf>
    <xf numFmtId="0" fontId="26" fillId="0" borderId="55" xfId="0" applyFont="1" applyBorder="1" applyAlignment="1" applyProtection="1">
      <alignment horizontal="center" vertical="center" wrapText="1"/>
      <protection locked="0"/>
    </xf>
    <xf numFmtId="0" fontId="26" fillId="0" borderId="5" xfId="0" applyFont="1" applyBorder="1" applyAlignment="1" applyProtection="1">
      <alignment horizontal="center" vertical="center" wrapText="1"/>
      <protection locked="0"/>
    </xf>
    <xf numFmtId="0" fontId="26" fillId="0" borderId="6" xfId="0" applyFont="1" applyBorder="1" applyAlignment="1" applyProtection="1">
      <alignment horizontal="center" vertical="center"/>
      <protection locked="0"/>
    </xf>
    <xf numFmtId="0" fontId="26" fillId="0" borderId="34" xfId="0" applyFont="1" applyBorder="1" applyAlignment="1" applyProtection="1">
      <alignment horizontal="center" vertical="center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3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16" fillId="9" borderId="1" xfId="0" applyFont="1" applyFill="1" applyBorder="1" applyAlignment="1" applyProtection="1">
      <alignment horizontal="center" vertical="center" wrapText="1"/>
      <protection locked="0"/>
    </xf>
    <xf numFmtId="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4" borderId="0" xfId="0" applyFont="1" applyFill="1" applyAlignment="1" applyProtection="1">
      <alignment horizontal="center" vertical="center" wrapText="1"/>
      <protection locked="0"/>
    </xf>
    <xf numFmtId="0" fontId="15" fillId="5" borderId="18" xfId="0" applyFont="1" applyFill="1" applyBorder="1" applyAlignment="1" applyProtection="1">
      <alignment horizontal="left" vertical="center" wrapText="1"/>
      <protection locked="0"/>
    </xf>
    <xf numFmtId="0" fontId="15" fillId="5" borderId="12" xfId="0" applyFont="1" applyFill="1" applyBorder="1" applyAlignment="1" applyProtection="1">
      <alignment horizontal="left" vertical="center" wrapText="1"/>
      <protection locked="0"/>
    </xf>
    <xf numFmtId="0" fontId="15" fillId="5" borderId="19" xfId="0" applyFont="1" applyFill="1" applyBorder="1" applyAlignment="1" applyProtection="1">
      <alignment horizontal="left" vertical="center" wrapText="1"/>
      <protection locked="0"/>
    </xf>
    <xf numFmtId="0" fontId="15" fillId="5" borderId="65" xfId="0" applyFont="1" applyFill="1" applyBorder="1" applyAlignment="1" applyProtection="1">
      <alignment horizontal="left" vertical="center" wrapText="1"/>
      <protection locked="0"/>
    </xf>
    <xf numFmtId="0" fontId="15" fillId="5" borderId="38" xfId="0" applyFont="1" applyFill="1" applyBorder="1" applyAlignment="1" applyProtection="1">
      <alignment horizontal="left" vertical="center" wrapText="1"/>
      <protection locked="0"/>
    </xf>
    <xf numFmtId="0" fontId="15" fillId="5" borderId="2" xfId="0" applyFont="1" applyFill="1" applyBorder="1" applyAlignment="1" applyProtection="1">
      <alignment horizontal="left" vertical="center" wrapText="1"/>
      <protection locked="0"/>
    </xf>
    <xf numFmtId="0" fontId="26" fillId="0" borderId="5" xfId="0" applyFont="1" applyBorder="1" applyAlignment="1" applyProtection="1">
      <alignment vertical="center"/>
      <protection locked="0"/>
    </xf>
    <xf numFmtId="0" fontId="26" fillId="0" borderId="6" xfId="0" applyFont="1" applyBorder="1" applyAlignment="1" applyProtection="1">
      <alignment vertical="center"/>
      <protection locked="0"/>
    </xf>
    <xf numFmtId="0" fontId="26" fillId="0" borderId="34" xfId="0" applyFont="1" applyBorder="1" applyAlignment="1" applyProtection="1">
      <alignment vertical="center"/>
      <protection locked="0"/>
    </xf>
    <xf numFmtId="0" fontId="18" fillId="5" borderId="0" xfId="0" applyFont="1" applyFill="1" applyAlignment="1" applyProtection="1">
      <alignment horizontal="center" vertical="center" wrapText="1"/>
      <protection locked="0"/>
    </xf>
    <xf numFmtId="3" fontId="6" fillId="5" borderId="6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63" xfId="0" applyFont="1" applyFill="1" applyBorder="1" applyAlignment="1" applyProtection="1">
      <alignment horizontal="center" vertical="center" wrapText="1"/>
      <protection locked="0"/>
    </xf>
    <xf numFmtId="3" fontId="1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1" xfId="0" applyFont="1" applyFill="1" applyBorder="1" applyAlignment="1" applyProtection="1">
      <alignment horizontal="center" vertical="center" wrapText="1"/>
      <protection locked="0"/>
    </xf>
    <xf numFmtId="3" fontId="6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6" fillId="5" borderId="45" xfId="0" applyFont="1" applyFill="1" applyBorder="1" applyAlignment="1" applyProtection="1">
      <alignment horizontal="center" vertical="center" wrapText="1"/>
      <protection locked="0"/>
    </xf>
    <xf numFmtId="0" fontId="6" fillId="5" borderId="9" xfId="0" applyFont="1" applyFill="1" applyBorder="1" applyAlignment="1" applyProtection="1">
      <alignment horizontal="center" vertical="center" wrapText="1"/>
      <protection locked="0"/>
    </xf>
    <xf numFmtId="0" fontId="6" fillId="5" borderId="64" xfId="0" applyFont="1" applyFill="1" applyBorder="1" applyAlignment="1" applyProtection="1">
      <alignment horizontal="center" vertical="center" wrapText="1"/>
      <protection locked="0"/>
    </xf>
    <xf numFmtId="0" fontId="6" fillId="5" borderId="8" xfId="0" applyFont="1" applyFill="1" applyBorder="1" applyAlignment="1" applyProtection="1">
      <alignment horizontal="center" vertical="center" wrapText="1"/>
      <protection locked="0"/>
    </xf>
    <xf numFmtId="0" fontId="33" fillId="5" borderId="18" xfId="0" applyFont="1" applyFill="1" applyBorder="1" applyAlignment="1" applyProtection="1">
      <alignment horizontal="left" vertical="center" wrapText="1"/>
      <protection locked="0"/>
    </xf>
    <xf numFmtId="0" fontId="33" fillId="5" borderId="12" xfId="0" applyFont="1" applyFill="1" applyBorder="1" applyAlignment="1" applyProtection="1">
      <alignment horizontal="left" vertical="center" wrapText="1"/>
      <protection locked="0"/>
    </xf>
    <xf numFmtId="0" fontId="33" fillId="5" borderId="19" xfId="0" applyFont="1" applyFill="1" applyBorder="1" applyAlignment="1" applyProtection="1">
      <alignment horizontal="left" vertical="center" wrapText="1"/>
      <protection locked="0"/>
    </xf>
    <xf numFmtId="0" fontId="33" fillId="5" borderId="65" xfId="0" applyFont="1" applyFill="1" applyBorder="1" applyAlignment="1" applyProtection="1">
      <alignment horizontal="left" vertical="center" wrapText="1"/>
      <protection locked="0"/>
    </xf>
    <xf numFmtId="0" fontId="33" fillId="5" borderId="38" xfId="0" applyFont="1" applyFill="1" applyBorder="1" applyAlignment="1" applyProtection="1">
      <alignment horizontal="left" vertical="center" wrapText="1"/>
      <protection locked="0"/>
    </xf>
    <xf numFmtId="0" fontId="33" fillId="5" borderId="2" xfId="0" applyFont="1" applyFill="1" applyBorder="1" applyAlignment="1" applyProtection="1">
      <alignment horizontal="left" vertical="center" wrapText="1"/>
      <protection locked="0"/>
    </xf>
    <xf numFmtId="0" fontId="15" fillId="5" borderId="1" xfId="0" applyFont="1" applyFill="1" applyBorder="1" applyAlignment="1" applyProtection="1">
      <alignment horizontal="left" vertical="center" wrapText="1"/>
      <protection locked="0"/>
    </xf>
    <xf numFmtId="0" fontId="30" fillId="5" borderId="0" xfId="0" applyFont="1" applyFill="1" applyAlignment="1" applyProtection="1">
      <alignment horizontal="center" vertical="center" wrapText="1"/>
      <protection locked="0"/>
    </xf>
    <xf numFmtId="0" fontId="37" fillId="4" borderId="5" xfId="0" applyFont="1" applyFill="1" applyBorder="1" applyAlignment="1" applyProtection="1">
      <alignment horizontal="right" wrapText="1"/>
      <protection locked="0"/>
    </xf>
    <xf numFmtId="0" fontId="37" fillId="4" borderId="6" xfId="0" applyFont="1" applyFill="1" applyBorder="1" applyAlignment="1" applyProtection="1">
      <alignment horizontal="right" wrapText="1"/>
      <protection locked="0"/>
    </xf>
    <xf numFmtId="0" fontId="37" fillId="4" borderId="34" xfId="0" applyFont="1" applyFill="1" applyBorder="1" applyAlignment="1" applyProtection="1">
      <alignment horizontal="right" wrapText="1"/>
      <protection locked="0"/>
    </xf>
    <xf numFmtId="3" fontId="37" fillId="4" borderId="5" xfId="0" applyNumberFormat="1" applyFont="1" applyFill="1" applyBorder="1" applyAlignment="1" applyProtection="1">
      <alignment horizontal="center" wrapText="1"/>
      <protection locked="0"/>
    </xf>
    <xf numFmtId="3" fontId="37" fillId="4" borderId="34" xfId="0" applyNumberFormat="1" applyFont="1" applyFill="1" applyBorder="1" applyAlignment="1" applyProtection="1">
      <alignment horizontal="center" wrapText="1"/>
      <protection locked="0"/>
    </xf>
    <xf numFmtId="0" fontId="26" fillId="0" borderId="45" xfId="0" applyFont="1" applyBorder="1" applyAlignment="1" applyProtection="1">
      <alignment horizontal="center"/>
      <protection locked="0"/>
    </xf>
    <xf numFmtId="0" fontId="26" fillId="0" borderId="47" xfId="0" applyFont="1" applyBorder="1" applyAlignment="1" applyProtection="1">
      <alignment horizontal="center"/>
      <protection locked="0"/>
    </xf>
    <xf numFmtId="0" fontId="26" fillId="0" borderId="9" xfId="0" applyFont="1" applyBorder="1" applyAlignment="1" applyProtection="1">
      <alignment horizontal="center"/>
      <protection locked="0"/>
    </xf>
    <xf numFmtId="0" fontId="26" fillId="0" borderId="5" xfId="0" applyFont="1" applyBorder="1" applyAlignment="1" applyProtection="1">
      <alignment horizontal="center" wrapText="1"/>
      <protection locked="0"/>
    </xf>
    <xf numFmtId="0" fontId="26" fillId="0" borderId="6" xfId="0" applyFont="1" applyBorder="1" applyAlignment="1" applyProtection="1">
      <alignment horizontal="center"/>
      <protection locked="0"/>
    </xf>
    <xf numFmtId="0" fontId="26" fillId="0" borderId="34" xfId="0" applyFont="1" applyBorder="1" applyAlignment="1" applyProtection="1">
      <alignment horizontal="center"/>
      <protection locked="0"/>
    </xf>
    <xf numFmtId="0" fontId="19" fillId="4" borderId="5" xfId="0" applyFont="1" applyFill="1" applyBorder="1" applyAlignment="1" applyProtection="1">
      <alignment horizontal="right" wrapText="1"/>
      <protection locked="0"/>
    </xf>
    <xf numFmtId="0" fontId="19" fillId="4" borderId="6" xfId="0" applyFont="1" applyFill="1" applyBorder="1" applyAlignment="1" applyProtection="1">
      <alignment horizontal="right" wrapText="1"/>
      <protection locked="0"/>
    </xf>
    <xf numFmtId="0" fontId="19" fillId="4" borderId="34" xfId="0" applyFont="1" applyFill="1" applyBorder="1" applyAlignment="1" applyProtection="1">
      <alignment horizontal="right" wrapText="1"/>
      <protection locked="0"/>
    </xf>
    <xf numFmtId="0" fontId="19" fillId="4" borderId="1" xfId="0" applyFont="1" applyFill="1" applyBorder="1" applyAlignment="1" applyProtection="1">
      <alignment horizontal="right" wrapText="1"/>
      <protection locked="0"/>
    </xf>
    <xf numFmtId="0" fontId="19" fillId="4" borderId="10" xfId="0" applyFont="1" applyFill="1" applyBorder="1" applyAlignment="1" applyProtection="1">
      <alignment horizontal="right" wrapText="1"/>
      <protection locked="0"/>
    </xf>
    <xf numFmtId="0" fontId="19" fillId="4" borderId="11" xfId="0" applyFont="1" applyFill="1" applyBorder="1" applyAlignment="1" applyProtection="1">
      <alignment horizontal="right" wrapText="1"/>
      <protection locked="0"/>
    </xf>
    <xf numFmtId="0" fontId="19" fillId="4" borderId="16" xfId="0" applyFont="1" applyFill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9" borderId="1" xfId="0" applyFont="1" applyFill="1" applyBorder="1" applyAlignment="1" applyProtection="1">
      <alignment horizontal="center" wrapText="1"/>
      <protection locked="0"/>
    </xf>
    <xf numFmtId="0" fontId="34" fillId="4" borderId="1" xfId="0" applyFont="1" applyFill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wrapText="1"/>
      <protection locked="0"/>
    </xf>
    <xf numFmtId="3" fontId="19" fillId="4" borderId="13" xfId="0" applyNumberFormat="1" applyFont="1" applyFill="1" applyBorder="1" applyAlignment="1" applyProtection="1">
      <alignment horizontal="center" wrapText="1"/>
      <protection locked="0"/>
    </xf>
    <xf numFmtId="3" fontId="19" fillId="4" borderId="14" xfId="0" applyNumberFormat="1" applyFont="1" applyFill="1" applyBorder="1" applyAlignment="1" applyProtection="1">
      <alignment horizontal="center" wrapText="1"/>
      <protection locked="0"/>
    </xf>
    <xf numFmtId="0" fontId="30" fillId="5" borderId="1" xfId="0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 applyProtection="1">
      <alignment horizontal="center" wrapText="1"/>
      <protection locked="0"/>
    </xf>
    <xf numFmtId="0" fontId="34" fillId="4" borderId="1" xfId="0" applyFont="1" applyFill="1" applyBorder="1" applyAlignment="1" applyProtection="1">
      <alignment horizontal="center" wrapText="1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19" fillId="4" borderId="1" xfId="0" applyNumberFormat="1" applyFont="1" applyFill="1" applyBorder="1" applyAlignment="1" applyProtection="1">
      <alignment horizontal="center" wrapText="1"/>
      <protection locked="0"/>
    </xf>
    <xf numFmtId="3" fontId="19" fillId="4" borderId="5" xfId="0" applyNumberFormat="1" applyFont="1" applyFill="1" applyBorder="1" applyAlignment="1" applyProtection="1">
      <alignment horizontal="center" wrapText="1"/>
      <protection locked="0"/>
    </xf>
    <xf numFmtId="3" fontId="19" fillId="4" borderId="34" xfId="0" applyNumberFormat="1" applyFont="1" applyFill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6" fillId="5" borderId="1" xfId="0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5" fillId="5" borderId="60" xfId="0" applyFont="1" applyFill="1" applyBorder="1" applyAlignment="1" applyProtection="1">
      <alignment horizontal="center" vertical="center" wrapText="1"/>
      <protection locked="0"/>
    </xf>
    <xf numFmtId="0" fontId="15" fillId="5" borderId="61" xfId="0" applyFont="1" applyFill="1" applyBorder="1" applyAlignment="1" applyProtection="1">
      <alignment horizontal="center" vertical="center" wrapText="1"/>
      <protection locked="0"/>
    </xf>
    <xf numFmtId="0" fontId="15" fillId="5" borderId="67" xfId="0" applyFont="1" applyFill="1" applyBorder="1" applyAlignment="1" applyProtection="1">
      <alignment horizontal="center" vertical="center" wrapText="1"/>
      <protection locked="0"/>
    </xf>
    <xf numFmtId="3" fontId="19" fillId="4" borderId="6" xfId="0" applyNumberFormat="1" applyFont="1" applyFill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0" borderId="34" xfId="0" applyFont="1" applyBorder="1" applyAlignment="1" applyProtection="1">
      <alignment vertical="center" wrapText="1"/>
      <protection locked="0"/>
    </xf>
    <xf numFmtId="0" fontId="33" fillId="5" borderId="0" xfId="0" applyFont="1" applyFill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wrapText="1"/>
      <protection locked="0"/>
    </xf>
    <xf numFmtId="3" fontId="26" fillId="0" borderId="5" xfId="0" applyNumberFormat="1" applyFont="1" applyBorder="1" applyAlignment="1">
      <alignment horizontal="left" vertical="center"/>
    </xf>
    <xf numFmtId="3" fontId="26" fillId="0" borderId="6" xfId="0" applyNumberFormat="1" applyFont="1" applyBorder="1" applyAlignment="1">
      <alignment horizontal="left" vertical="center"/>
    </xf>
    <xf numFmtId="3" fontId="26" fillId="0" borderId="34" xfId="0" applyNumberFormat="1" applyFont="1" applyBorder="1" applyAlignment="1">
      <alignment horizontal="left" vertical="center"/>
    </xf>
    <xf numFmtId="3" fontId="26" fillId="0" borderId="55" xfId="0" applyNumberFormat="1" applyFont="1" applyBorder="1" applyAlignment="1">
      <alignment horizontal="center"/>
    </xf>
    <xf numFmtId="3" fontId="26" fillId="0" borderId="7" xfId="0" applyNumberFormat="1" applyFont="1" applyBorder="1" applyAlignment="1">
      <alignment horizontal="center"/>
    </xf>
    <xf numFmtId="3" fontId="26" fillId="0" borderId="58" xfId="0" applyNumberFormat="1" applyFont="1" applyBorder="1" applyAlignment="1">
      <alignment horizontal="center"/>
    </xf>
    <xf numFmtId="3" fontId="26" fillId="0" borderId="68" xfId="0" applyNumberFormat="1" applyFont="1" applyBorder="1" applyAlignment="1">
      <alignment horizontal="center"/>
    </xf>
    <xf numFmtId="3" fontId="26" fillId="0" borderId="0" xfId="0" applyNumberFormat="1" applyFont="1" applyAlignment="1">
      <alignment horizontal="center"/>
    </xf>
    <xf numFmtId="3" fontId="26" fillId="0" borderId="75" xfId="0" applyNumberFormat="1" applyFont="1" applyBorder="1" applyAlignment="1">
      <alignment horizontal="center"/>
    </xf>
    <xf numFmtId="3" fontId="26" fillId="0" borderId="66" xfId="0" applyNumberFormat="1" applyFont="1" applyBorder="1" applyAlignment="1">
      <alignment horizontal="center"/>
    </xf>
    <xf numFmtId="3" fontId="26" fillId="0" borderId="38" xfId="0" applyNumberFormat="1" applyFont="1" applyBorder="1" applyAlignment="1">
      <alignment horizontal="center"/>
    </xf>
    <xf numFmtId="3" fontId="26" fillId="0" borderId="30" xfId="0" applyNumberFormat="1" applyFont="1" applyBorder="1" applyAlignment="1">
      <alignment horizontal="center"/>
    </xf>
    <xf numFmtId="3" fontId="26" fillId="0" borderId="55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/>
    </xf>
    <xf numFmtId="3" fontId="26" fillId="0" borderId="58" xfId="0" applyNumberFormat="1" applyFont="1" applyBorder="1" applyAlignment="1">
      <alignment horizontal="center" vertical="center"/>
    </xf>
    <xf numFmtId="3" fontId="26" fillId="0" borderId="66" xfId="0" applyNumberFormat="1" applyFont="1" applyBorder="1" applyAlignment="1">
      <alignment horizontal="center" vertical="center"/>
    </xf>
    <xf numFmtId="3" fontId="26" fillId="0" borderId="38" xfId="0" applyNumberFormat="1" applyFont="1" applyBorder="1" applyAlignment="1">
      <alignment horizontal="center" vertical="center"/>
    </xf>
    <xf numFmtId="3" fontId="26" fillId="0" borderId="30" xfId="0" applyNumberFormat="1" applyFont="1" applyBorder="1" applyAlignment="1">
      <alignment horizontal="center" vertical="center"/>
    </xf>
    <xf numFmtId="3" fontId="26" fillId="0" borderId="5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/>
    </xf>
    <xf numFmtId="3" fontId="26" fillId="0" borderId="34" xfId="0" applyNumberFormat="1" applyFont="1" applyBorder="1" applyAlignment="1">
      <alignment horizontal="center" vertical="center"/>
    </xf>
    <xf numFmtId="3" fontId="25" fillId="5" borderId="27" xfId="0" applyNumberFormat="1" applyFont="1" applyFill="1" applyBorder="1" applyAlignment="1">
      <alignment horizontal="center"/>
    </xf>
    <xf numFmtId="3" fontId="25" fillId="5" borderId="22" xfId="0" applyNumberFormat="1" applyFont="1" applyFill="1" applyBorder="1" applyAlignment="1">
      <alignment horizontal="center"/>
    </xf>
    <xf numFmtId="3" fontId="25" fillId="5" borderId="23" xfId="0" applyNumberFormat="1" applyFont="1" applyFill="1" applyBorder="1" applyAlignment="1">
      <alignment horizontal="center"/>
    </xf>
    <xf numFmtId="3" fontId="25" fillId="5" borderId="69" xfId="0" applyNumberFormat="1" applyFont="1" applyFill="1" applyBorder="1" applyAlignment="1">
      <alignment horizontal="center"/>
    </xf>
    <xf numFmtId="3" fontId="25" fillId="5" borderId="1" xfId="0" applyNumberFormat="1" applyFont="1" applyFill="1" applyBorder="1" applyAlignment="1">
      <alignment horizontal="center"/>
    </xf>
    <xf numFmtId="3" fontId="28" fillId="0" borderId="70" xfId="0" applyNumberFormat="1" applyFont="1" applyBorder="1" applyAlignment="1">
      <alignment horizontal="center"/>
    </xf>
    <xf numFmtId="3" fontId="28" fillId="0" borderId="71" xfId="0" applyNumberFormat="1" applyFont="1" applyBorder="1" applyAlignment="1">
      <alignment horizontal="center"/>
    </xf>
    <xf numFmtId="3" fontId="28" fillId="0" borderId="72" xfId="0" applyNumberFormat="1" applyFont="1" applyBorder="1" applyAlignment="1">
      <alignment horizontal="center"/>
    </xf>
    <xf numFmtId="3" fontId="41" fillId="0" borderId="27" xfId="0" applyNumberFormat="1" applyFont="1" applyBorder="1" applyAlignment="1">
      <alignment horizontal="center" vertical="center" wrapText="1"/>
    </xf>
    <xf numFmtId="3" fontId="41" fillId="0" borderId="26" xfId="0" applyNumberFormat="1" applyFont="1" applyBorder="1" applyAlignment="1">
      <alignment horizontal="center" vertical="center" wrapText="1"/>
    </xf>
    <xf numFmtId="3" fontId="41" fillId="0" borderId="49" xfId="0" applyNumberFormat="1" applyFont="1" applyBorder="1" applyAlignment="1">
      <alignment horizontal="center" vertical="center" wrapText="1"/>
    </xf>
    <xf numFmtId="3" fontId="41" fillId="0" borderId="42" xfId="0" applyNumberFormat="1" applyFont="1" applyBorder="1" applyAlignment="1">
      <alignment horizontal="center" vertical="center" wrapText="1"/>
    </xf>
    <xf numFmtId="3" fontId="41" fillId="0" borderId="22" xfId="0" applyNumberFormat="1" applyFont="1" applyBorder="1" applyAlignment="1">
      <alignment horizontal="center" vertical="center" wrapText="1"/>
    </xf>
    <xf numFmtId="3" fontId="41" fillId="0" borderId="20" xfId="0" applyNumberFormat="1" applyFont="1" applyBorder="1" applyAlignment="1">
      <alignment horizontal="center" vertical="center" wrapText="1"/>
    </xf>
    <xf numFmtId="3" fontId="25" fillId="5" borderId="23" xfId="0" applyNumberFormat="1" applyFont="1" applyFill="1" applyBorder="1" applyAlignment="1">
      <alignment horizontal="center" wrapText="1"/>
    </xf>
    <xf numFmtId="3" fontId="25" fillId="5" borderId="29" xfId="0" applyNumberFormat="1" applyFont="1" applyFill="1" applyBorder="1" applyAlignment="1">
      <alignment horizontal="center" wrapText="1"/>
    </xf>
    <xf numFmtId="3" fontId="25" fillId="5" borderId="50" xfId="0" applyNumberFormat="1" applyFont="1" applyFill="1" applyBorder="1" applyAlignment="1">
      <alignment horizontal="center"/>
    </xf>
    <xf numFmtId="3" fontId="28" fillId="0" borderId="0" xfId="0" applyNumberFormat="1" applyFont="1" applyAlignment="1">
      <alignment horizontal="center"/>
    </xf>
    <xf numFmtId="3" fontId="25" fillId="5" borderId="23" xfId="0" applyNumberFormat="1" applyFont="1" applyFill="1" applyBorder="1" applyAlignment="1">
      <alignment horizontal="center" vertical="center"/>
    </xf>
    <xf numFmtId="3" fontId="25" fillId="5" borderId="29" xfId="0" applyNumberFormat="1" applyFont="1" applyFill="1" applyBorder="1" applyAlignment="1">
      <alignment horizontal="center" vertical="center"/>
    </xf>
    <xf numFmtId="3" fontId="20" fillId="5" borderId="32" xfId="0" applyNumberFormat="1" applyFont="1" applyFill="1" applyBorder="1" applyAlignment="1">
      <alignment horizontal="center"/>
    </xf>
    <xf numFmtId="3" fontId="20" fillId="5" borderId="56" xfId="0" applyNumberFormat="1" applyFont="1" applyFill="1" applyBorder="1" applyAlignment="1">
      <alignment horizontal="center"/>
    </xf>
    <xf numFmtId="3" fontId="20" fillId="5" borderId="57" xfId="0" applyNumberFormat="1" applyFont="1" applyFill="1" applyBorder="1" applyAlignment="1">
      <alignment horizontal="center"/>
    </xf>
    <xf numFmtId="3" fontId="25" fillId="5" borderId="32" xfId="0" applyNumberFormat="1" applyFont="1" applyFill="1" applyBorder="1" applyAlignment="1">
      <alignment horizontal="center"/>
    </xf>
    <xf numFmtId="3" fontId="25" fillId="5" borderId="56" xfId="0" applyNumberFormat="1" applyFont="1" applyFill="1" applyBorder="1" applyAlignment="1">
      <alignment horizontal="center"/>
    </xf>
    <xf numFmtId="3" fontId="25" fillId="5" borderId="57" xfId="0" applyNumberFormat="1" applyFont="1" applyFill="1" applyBorder="1" applyAlignment="1">
      <alignment horizontal="center"/>
    </xf>
    <xf numFmtId="0" fontId="26" fillId="0" borderId="55" xfId="0" applyFont="1" applyBorder="1" applyAlignment="1">
      <alignment horizontal="center"/>
    </xf>
    <xf numFmtId="0" fontId="26" fillId="0" borderId="58" xfId="0" applyFont="1" applyBorder="1" applyAlignment="1">
      <alignment horizontal="center"/>
    </xf>
    <xf numFmtId="0" fontId="26" fillId="0" borderId="68" xfId="0" applyFont="1" applyBorder="1" applyAlignment="1">
      <alignment horizontal="center"/>
    </xf>
    <xf numFmtId="0" fontId="26" fillId="0" borderId="75" xfId="0" applyFont="1" applyBorder="1" applyAlignment="1">
      <alignment horizontal="center"/>
    </xf>
    <xf numFmtId="0" fontId="26" fillId="0" borderId="66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6" fillId="0" borderId="5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75" xfId="0" applyFont="1" applyBorder="1" applyAlignment="1">
      <alignment horizontal="center" vertical="center"/>
    </xf>
    <xf numFmtId="0" fontId="26" fillId="0" borderId="66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4" xfId="0" applyFont="1" applyBorder="1" applyAlignment="1">
      <alignment horizontal="left"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3" fontId="28" fillId="0" borderId="32" xfId="0" applyNumberFormat="1" applyFont="1" applyBorder="1" applyAlignment="1">
      <alignment horizontal="center"/>
    </xf>
    <xf numFmtId="3" fontId="28" fillId="0" borderId="56" xfId="0" applyNumberFormat="1" applyFont="1" applyBorder="1" applyAlignment="1">
      <alignment horizontal="center"/>
    </xf>
    <xf numFmtId="3" fontId="28" fillId="0" borderId="57" xfId="0" applyNumberFormat="1" applyFont="1" applyBorder="1" applyAlignment="1">
      <alignment horizontal="center"/>
    </xf>
    <xf numFmtId="0" fontId="2" fillId="9" borderId="70" xfId="0" applyFont="1" applyFill="1" applyBorder="1" applyAlignment="1" applyProtection="1">
      <alignment horizontal="center" vertical="center" wrapText="1"/>
      <protection locked="0"/>
    </xf>
    <xf numFmtId="0" fontId="2" fillId="9" borderId="44" xfId="0" applyFont="1" applyFill="1" applyBorder="1" applyAlignment="1" applyProtection="1">
      <alignment horizontal="center" vertical="center" wrapText="1"/>
      <protection locked="0"/>
    </xf>
    <xf numFmtId="0" fontId="2" fillId="9" borderId="51" xfId="0" applyFont="1" applyFill="1" applyBorder="1" applyAlignment="1" applyProtection="1">
      <alignment horizontal="center" vertical="center" wrapText="1"/>
      <protection locked="0"/>
    </xf>
    <xf numFmtId="0" fontId="25" fillId="5" borderId="0" xfId="0" applyFont="1" applyFill="1" applyAlignment="1">
      <alignment horizontal="center" vertical="center"/>
    </xf>
    <xf numFmtId="0" fontId="21" fillId="9" borderId="70" xfId="0" applyFont="1" applyFill="1" applyBorder="1" applyAlignment="1" applyProtection="1">
      <alignment horizontal="center" vertical="center" wrapText="1"/>
      <protection locked="0"/>
    </xf>
    <xf numFmtId="0" fontId="21" fillId="9" borderId="44" xfId="0" applyFont="1" applyFill="1" applyBorder="1" applyAlignment="1" applyProtection="1">
      <alignment horizontal="center" vertical="center" wrapText="1"/>
      <protection locked="0"/>
    </xf>
    <xf numFmtId="0" fontId="21" fillId="9" borderId="51" xfId="0" applyFont="1" applyFill="1" applyBorder="1" applyAlignment="1" applyProtection="1">
      <alignment horizontal="center" vertical="center" wrapText="1"/>
      <protection locked="0"/>
    </xf>
    <xf numFmtId="0" fontId="26" fillId="0" borderId="45" xfId="0" applyFont="1" applyBorder="1" applyAlignment="1" applyProtection="1">
      <alignment horizontal="center" vertical="center"/>
      <protection locked="0"/>
    </xf>
    <xf numFmtId="0" fontId="26" fillId="0" borderId="47" xfId="0" applyFont="1" applyBorder="1" applyAlignment="1" applyProtection="1">
      <alignment horizontal="center" vertical="center"/>
      <protection locked="0"/>
    </xf>
    <xf numFmtId="0" fontId="26" fillId="0" borderId="9" xfId="0" applyFont="1" applyBorder="1" applyAlignment="1" applyProtection="1">
      <alignment horizontal="center" vertical="center"/>
      <protection locked="0"/>
    </xf>
    <xf numFmtId="0" fontId="20" fillId="5" borderId="1" xfId="0" applyFont="1" applyFill="1" applyBorder="1" applyAlignment="1" applyProtection="1">
      <alignment horizontal="center"/>
      <protection locked="0"/>
    </xf>
    <xf numFmtId="0" fontId="20" fillId="5" borderId="0" xfId="0" applyFont="1" applyFill="1" applyAlignment="1" applyProtection="1">
      <alignment horizontal="center"/>
      <protection locked="0"/>
    </xf>
    <xf numFmtId="0" fontId="26" fillId="0" borderId="5" xfId="0" applyFont="1" applyBorder="1" applyAlignment="1" applyProtection="1">
      <alignment horizontal="left" vertical="center"/>
      <protection locked="0"/>
    </xf>
    <xf numFmtId="0" fontId="26" fillId="0" borderId="34" xfId="0" applyFont="1" applyBorder="1" applyAlignment="1" applyProtection="1">
      <alignment horizontal="left" vertical="center"/>
      <protection locked="0"/>
    </xf>
    <xf numFmtId="0" fontId="26" fillId="0" borderId="5" xfId="0" applyFont="1" applyBorder="1" applyAlignment="1" applyProtection="1">
      <alignment horizontal="left" vertical="center" wrapText="1"/>
      <protection locked="0"/>
    </xf>
    <xf numFmtId="0" fontId="26" fillId="0" borderId="34" xfId="0" applyFont="1" applyBorder="1" applyAlignment="1" applyProtection="1">
      <alignment horizontal="left" vertical="center" wrapText="1"/>
      <protection locked="0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25" fillId="5" borderId="0" xfId="0" applyFont="1" applyFill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5" borderId="0" xfId="0" applyFont="1" applyFill="1" applyAlignment="1">
      <alignment horizontal="center"/>
    </xf>
    <xf numFmtId="0" fontId="42" fillId="0" borderId="0" xfId="0" applyFont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</cellXfs>
  <cellStyles count="7">
    <cellStyle name="Millares" xfId="1" builtinId="3"/>
    <cellStyle name="Moneda" xfId="2" builtinId="4"/>
    <cellStyle name="Moneda [0]" xfId="6" builtinId="7"/>
    <cellStyle name="Moneda_Hoja1" xfId="3" xr:uid="{00000000-0005-0000-0000-000002000000}"/>
    <cellStyle name="Normal" xfId="0" builtinId="0"/>
    <cellStyle name="Normal 2" xfId="5" xr:uid="{DB7DC3FC-A1BC-4002-B3F7-20FB2F6AF130}"/>
    <cellStyle name="Porcentaje" xfId="4" builtinId="5"/>
  </cellStyles>
  <dxfs count="42">
    <dxf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00157C"/>
      <color rgb="FF201F42"/>
      <color rgb="FFBFBFBF"/>
      <color rgb="FF201F72"/>
      <color rgb="FF00000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97"/>
  <sheetViews>
    <sheetView showGridLines="0" tabSelected="1" zoomScale="90" zoomScaleNormal="90" workbookViewId="0">
      <pane ySplit="11" topLeftCell="A12" activePane="bottomLeft" state="frozen"/>
      <selection pane="bottomLeft" activeCell="C8" sqref="C8"/>
    </sheetView>
  </sheetViews>
  <sheetFormatPr baseColWidth="10" defaultColWidth="11.42578125" defaultRowHeight="14.25" x14ac:dyDescent="0.2"/>
  <cols>
    <col min="1" max="1" width="3.42578125" style="58" customWidth="1"/>
    <col min="2" max="2" width="24.140625" style="58" customWidth="1"/>
    <col min="3" max="3" width="24.85546875" style="58" customWidth="1"/>
    <col min="4" max="4" width="6.42578125" style="59" customWidth="1"/>
    <col min="5" max="5" width="6.5703125" style="58" customWidth="1"/>
    <col min="6" max="6" width="19.28515625" style="58" customWidth="1"/>
    <col min="7" max="7" width="18.140625" style="58" customWidth="1"/>
    <col min="8" max="10" width="19.42578125" style="58" customWidth="1"/>
    <col min="11" max="12" width="19.28515625" style="58" bestFit="1" customWidth="1"/>
    <col min="13" max="13" width="8.7109375" style="58" customWidth="1"/>
    <col min="14" max="14" width="7.140625" style="60" customWidth="1"/>
    <col min="15" max="15" width="2" style="58" customWidth="1"/>
    <col min="16" max="16" width="34.5703125" style="58" customWidth="1"/>
    <col min="17" max="17" width="9.5703125" style="58" customWidth="1"/>
    <col min="18" max="16384" width="11.42578125" style="58"/>
  </cols>
  <sheetData>
    <row r="1" spans="2:16" x14ac:dyDescent="0.2">
      <c r="B1" s="7"/>
      <c r="C1" s="8"/>
      <c r="D1" s="17"/>
      <c r="E1" s="7"/>
      <c r="F1" s="7"/>
    </row>
    <row r="2" spans="2:16" ht="27" customHeight="1" x14ac:dyDescent="0.25">
      <c r="B2" s="332" t="e" vm="1">
        <v>#VALUE!</v>
      </c>
      <c r="C2" s="335" t="e" vm="2">
        <v>#VALUE!</v>
      </c>
      <c r="D2" s="314" t="s">
        <v>455</v>
      </c>
      <c r="E2" s="315"/>
      <c r="F2" s="315"/>
      <c r="G2" s="315"/>
      <c r="H2" s="315"/>
      <c r="I2" s="315"/>
      <c r="J2" s="316"/>
      <c r="K2" s="311" t="s">
        <v>457</v>
      </c>
      <c r="L2" s="312"/>
      <c r="M2" s="61"/>
      <c r="N2"/>
      <c r="O2"/>
      <c r="P2"/>
    </row>
    <row r="3" spans="2:16" ht="27" customHeight="1" x14ac:dyDescent="0.25">
      <c r="B3" s="333"/>
      <c r="C3" s="336"/>
      <c r="D3" s="317"/>
      <c r="E3" s="318"/>
      <c r="F3" s="318"/>
      <c r="G3" s="318"/>
      <c r="H3" s="318"/>
      <c r="I3" s="318"/>
      <c r="J3" s="319"/>
      <c r="K3" s="313" t="s">
        <v>481</v>
      </c>
      <c r="L3" s="312"/>
      <c r="M3" s="61"/>
      <c r="N3"/>
      <c r="O3"/>
      <c r="P3"/>
    </row>
    <row r="4" spans="2:16" ht="32.25" customHeight="1" x14ac:dyDescent="0.25">
      <c r="B4" s="334"/>
      <c r="C4" s="337"/>
      <c r="D4" s="320" t="s">
        <v>456</v>
      </c>
      <c r="E4" s="321"/>
      <c r="F4" s="321"/>
      <c r="G4" s="321"/>
      <c r="H4" s="321"/>
      <c r="I4" s="321"/>
      <c r="J4" s="322"/>
      <c r="K4" s="313" t="s">
        <v>477</v>
      </c>
      <c r="L4" s="312"/>
      <c r="M4" s="61"/>
      <c r="N4"/>
      <c r="O4"/>
      <c r="P4"/>
    </row>
    <row r="5" spans="2:16" ht="8.25" customHeight="1" x14ac:dyDescent="0.2">
      <c r="B5" s="10"/>
      <c r="C5" s="9"/>
      <c r="D5" s="18"/>
      <c r="E5" s="11"/>
      <c r="F5" s="11"/>
      <c r="M5" s="61"/>
    </row>
    <row r="6" spans="2:16" s="63" customFormat="1" ht="16.5" customHeight="1" x14ac:dyDescent="0.2">
      <c r="B6" s="330" t="s">
        <v>346</v>
      </c>
      <c r="C6" s="330"/>
      <c r="D6" s="331"/>
      <c r="E6" s="331"/>
      <c r="F6" s="331"/>
      <c r="G6" s="331"/>
      <c r="H6" s="331"/>
      <c r="I6" s="39"/>
      <c r="J6" s="38" t="s">
        <v>0</v>
      </c>
      <c r="K6" s="329"/>
      <c r="L6" s="329"/>
      <c r="M6" s="61"/>
      <c r="N6" s="62"/>
    </row>
    <row r="7" spans="2:16" s="63" customFormat="1" ht="16.5" customHeight="1" x14ac:dyDescent="0.2">
      <c r="B7" s="29" t="s">
        <v>1</v>
      </c>
      <c r="C7" s="27" t="str">
        <f>CONCATENATE('ESTUDIANTES Y DOCENTES'!C11," (",'ESTUDIANTES Y DOCENTES'!AI32," grupos)")</f>
        <v>0 (0 grupos)</v>
      </c>
      <c r="D7" s="39"/>
      <c r="E7" s="39"/>
      <c r="F7" s="39"/>
      <c r="G7" s="39"/>
      <c r="H7" s="39"/>
      <c r="I7" s="64"/>
      <c r="J7" s="330" t="s">
        <v>2</v>
      </c>
      <c r="K7" s="330"/>
      <c r="L7" s="261"/>
      <c r="N7" s="307"/>
      <c r="P7" s="344" t="s">
        <v>458</v>
      </c>
    </row>
    <row r="8" spans="2:16" s="63" customFormat="1" ht="16.5" customHeight="1" x14ac:dyDescent="0.2">
      <c r="B8" s="29" t="s">
        <v>298</v>
      </c>
      <c r="C8" s="262"/>
      <c r="D8" s="39"/>
      <c r="E8" s="39"/>
      <c r="F8" s="39"/>
      <c r="G8" s="39"/>
      <c r="H8" s="39"/>
      <c r="I8" s="64"/>
      <c r="J8" s="64"/>
      <c r="K8" s="15" t="s">
        <v>436</v>
      </c>
      <c r="L8" s="262"/>
      <c r="N8" s="307"/>
      <c r="P8" s="344"/>
    </row>
    <row r="9" spans="2:16" s="63" customFormat="1" ht="16.5" customHeight="1" x14ac:dyDescent="0.2">
      <c r="B9" s="29" t="s">
        <v>347</v>
      </c>
      <c r="C9" s="28" t="s">
        <v>3</v>
      </c>
      <c r="D9" s="39"/>
      <c r="E9" s="39"/>
      <c r="F9" s="39"/>
      <c r="G9" s="39"/>
      <c r="H9" s="39"/>
      <c r="I9" s="64"/>
      <c r="J9" s="330" t="s">
        <v>437</v>
      </c>
      <c r="K9" s="330"/>
      <c r="L9" s="28" t="s">
        <v>3</v>
      </c>
      <c r="N9" s="307"/>
      <c r="P9" s="344"/>
    </row>
    <row r="10" spans="2:16" s="63" customFormat="1" ht="16.5" customHeight="1" x14ac:dyDescent="0.2">
      <c r="B10" s="29" t="s">
        <v>4</v>
      </c>
      <c r="C10" s="29" t="s">
        <v>5</v>
      </c>
      <c r="D10" s="39"/>
      <c r="E10" s="39"/>
      <c r="F10" s="39"/>
      <c r="G10" s="39"/>
      <c r="H10" s="39"/>
      <c r="I10" s="64"/>
      <c r="J10" s="64"/>
      <c r="K10" s="15" t="s">
        <v>6</v>
      </c>
      <c r="L10" s="29" t="s">
        <v>3</v>
      </c>
      <c r="N10" s="62"/>
    </row>
    <row r="11" spans="2:16" s="63" customFormat="1" ht="24.75" customHeight="1" x14ac:dyDescent="0.2">
      <c r="B11" s="353" t="s">
        <v>7</v>
      </c>
      <c r="C11" s="353"/>
      <c r="D11" s="353"/>
      <c r="E11" s="353"/>
      <c r="F11" s="40">
        <v>2027</v>
      </c>
      <c r="G11" s="40">
        <f t="shared" ref="G11:L11" si="0">F11+1</f>
        <v>2028</v>
      </c>
      <c r="H11" s="40">
        <f t="shared" si="0"/>
        <v>2029</v>
      </c>
      <c r="I11" s="40">
        <f t="shared" si="0"/>
        <v>2030</v>
      </c>
      <c r="J11" s="40">
        <f t="shared" si="0"/>
        <v>2031</v>
      </c>
      <c r="K11" s="40">
        <f t="shared" si="0"/>
        <v>2032</v>
      </c>
      <c r="L11" s="40">
        <f t="shared" si="0"/>
        <v>2033</v>
      </c>
      <c r="N11" s="62"/>
    </row>
    <row r="12" spans="2:16" s="61" customFormat="1" ht="16.5" customHeight="1" x14ac:dyDescent="0.2"/>
    <row r="13" spans="2:16" s="63" customFormat="1" x14ac:dyDescent="0.2">
      <c r="B13" s="345" t="s">
        <v>418</v>
      </c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N13" s="62"/>
    </row>
    <row r="14" spans="2:16" x14ac:dyDescent="0.2">
      <c r="B14" s="339" t="s">
        <v>420</v>
      </c>
      <c r="C14" s="339"/>
      <c r="D14" s="339"/>
      <c r="E14" s="339"/>
      <c r="F14" s="339"/>
      <c r="G14" s="339"/>
      <c r="H14" s="339"/>
      <c r="I14" s="339"/>
      <c r="J14" s="339"/>
      <c r="K14" s="339"/>
      <c r="L14" s="339"/>
    </row>
    <row r="15" spans="2:16" x14ac:dyDescent="0.2">
      <c r="B15" s="338" t="s">
        <v>62</v>
      </c>
      <c r="C15" s="338"/>
      <c r="D15" s="19"/>
      <c r="E15" s="1"/>
      <c r="F15" s="42">
        <f>IF(INGRESOS!$A$7="TECNICO",INGRESOS!Q14,0)</f>
        <v>0</v>
      </c>
      <c r="G15" s="42">
        <f>IF(INGRESOS!$A$7="TECNICO",INGRESOS!R14,0)</f>
        <v>0</v>
      </c>
      <c r="H15" s="42">
        <f>IF(INGRESOS!$A$7="TECNICO",INGRESOS!S14,0)</f>
        <v>0</v>
      </c>
      <c r="I15" s="42">
        <f>IF(INGRESOS!$A$7="TECNICO",INGRESOS!T14,0)</f>
        <v>0</v>
      </c>
      <c r="J15" s="42">
        <f>IF(INGRESOS!$A$7="TECNICO",INGRESOS!U14,0)</f>
        <v>0</v>
      </c>
      <c r="K15" s="42">
        <f>IF(INGRESOS!$A$7="TECNICO",INGRESOS!V14,0)</f>
        <v>0</v>
      </c>
      <c r="L15" s="42">
        <f>IF(INGRESOS!$A$7="TECNICO",INGRESOS!W14,0)</f>
        <v>0</v>
      </c>
    </row>
    <row r="16" spans="2:16" x14ac:dyDescent="0.2">
      <c r="B16" s="338" t="s">
        <v>63</v>
      </c>
      <c r="C16" s="338"/>
      <c r="D16" s="20"/>
      <c r="E16" s="1"/>
      <c r="F16" s="42">
        <f>IF(INGRESOS!$A$7="TECNICO",INGRESOS!Q47,0)</f>
        <v>0</v>
      </c>
      <c r="G16" s="42">
        <f>IF(INGRESOS!$A$7="TECNICO",INGRESOS!R47,0)</f>
        <v>0</v>
      </c>
      <c r="H16" s="42">
        <f>IF(INGRESOS!$A$7="TECNICO",INGRESOS!S47,0)</f>
        <v>0</v>
      </c>
      <c r="I16" s="42">
        <f>IF(INGRESOS!$A$7="TECNICO",INGRESOS!T47,0)</f>
        <v>0</v>
      </c>
      <c r="J16" s="42">
        <f>IF(INGRESOS!$A$7="TECNICO",INGRESOS!U47,0)</f>
        <v>0</v>
      </c>
      <c r="K16" s="42">
        <f>IF(INGRESOS!$A$7="TECNICO",INGRESOS!V47,0)</f>
        <v>0</v>
      </c>
      <c r="L16" s="42">
        <f>IF(INGRESOS!$A$7="TECNICO",INGRESOS!W47,0)</f>
        <v>0</v>
      </c>
    </row>
    <row r="17" spans="2:12" x14ac:dyDescent="0.2">
      <c r="B17" s="338" t="s">
        <v>85</v>
      </c>
      <c r="C17" s="338"/>
      <c r="D17" s="20"/>
      <c r="E17" s="1"/>
      <c r="F17" s="42">
        <f>IF(INGRESOS!$A$7="TECNICO",INGRESOS!Q54,0)</f>
        <v>0</v>
      </c>
      <c r="G17" s="42">
        <f>IF(INGRESOS!$A$7="TECNICO",INGRESOS!R54,0)</f>
        <v>0</v>
      </c>
      <c r="H17" s="42">
        <f>IF(INGRESOS!$A$7="TECNICO",INGRESOS!S54,0)</f>
        <v>0</v>
      </c>
      <c r="I17" s="42">
        <f>IF(INGRESOS!$A$7="TECNICO",INGRESOS!T54,0)</f>
        <v>0</v>
      </c>
      <c r="J17" s="42">
        <f>IF(INGRESOS!$A$7="TECNICO",INGRESOS!U54,0)</f>
        <v>0</v>
      </c>
      <c r="K17" s="42">
        <f>IF(INGRESOS!$A$7="TECNICO",INGRESOS!V54,0)</f>
        <v>0</v>
      </c>
      <c r="L17" s="42">
        <f>IF(INGRESOS!$A$7="TECNICO",INGRESOS!W54,0)</f>
        <v>0</v>
      </c>
    </row>
    <row r="18" spans="2:12" x14ac:dyDescent="0.2">
      <c r="B18" s="338" t="s">
        <v>99</v>
      </c>
      <c r="C18" s="338"/>
      <c r="D18" s="20"/>
      <c r="E18" s="1"/>
      <c r="F18" s="42">
        <f>IF(INGRESOS!$A$7="TECNICO",INGRESOS!Q68,0)</f>
        <v>0</v>
      </c>
      <c r="G18" s="42">
        <f>IF(INGRESOS!$A$7="TECNICO",INGRESOS!R68,0)</f>
        <v>0</v>
      </c>
      <c r="H18" s="42">
        <f>IF(INGRESOS!$A$7="TECNICO",INGRESOS!S68,0)</f>
        <v>0</v>
      </c>
      <c r="I18" s="42">
        <f>IF(INGRESOS!$A$7="TECNICO",INGRESOS!T68,0)</f>
        <v>0</v>
      </c>
      <c r="J18" s="42">
        <f>IF(INGRESOS!$A$7="TECNICO",INGRESOS!U68,0)</f>
        <v>0</v>
      </c>
      <c r="K18" s="42">
        <f>IF(INGRESOS!$A$7="TECNICO",INGRESOS!V68,0)</f>
        <v>0</v>
      </c>
      <c r="L18" s="42">
        <f>IF(INGRESOS!$A$7="TECNICO",INGRESOS!W68,0)</f>
        <v>0</v>
      </c>
    </row>
    <row r="19" spans="2:12" x14ac:dyDescent="0.2">
      <c r="B19" s="338" t="s">
        <v>71</v>
      </c>
      <c r="C19" s="338"/>
      <c r="D19" s="21">
        <v>0</v>
      </c>
      <c r="E19" s="1"/>
      <c r="F19" s="42">
        <f>-F$16*$D19</f>
        <v>0</v>
      </c>
      <c r="G19" s="42">
        <f t="shared" ref="G19:L20" si="1">-G$16*$D19</f>
        <v>0</v>
      </c>
      <c r="H19" s="42">
        <f t="shared" si="1"/>
        <v>0</v>
      </c>
      <c r="I19" s="42">
        <f t="shared" si="1"/>
        <v>0</v>
      </c>
      <c r="J19" s="42">
        <f t="shared" si="1"/>
        <v>0</v>
      </c>
      <c r="K19" s="42">
        <f t="shared" si="1"/>
        <v>0</v>
      </c>
      <c r="L19" s="42">
        <f t="shared" si="1"/>
        <v>0</v>
      </c>
    </row>
    <row r="20" spans="2:12" x14ac:dyDescent="0.2">
      <c r="B20" s="338" t="s">
        <v>72</v>
      </c>
      <c r="C20" s="338"/>
      <c r="D20" s="21">
        <v>0.1</v>
      </c>
      <c r="E20" s="1"/>
      <c r="F20" s="42">
        <f>-F$16*$D20</f>
        <v>0</v>
      </c>
      <c r="G20" s="42">
        <f t="shared" si="1"/>
        <v>0</v>
      </c>
      <c r="H20" s="42">
        <f t="shared" si="1"/>
        <v>0</v>
      </c>
      <c r="I20" s="42">
        <f t="shared" si="1"/>
        <v>0</v>
      </c>
      <c r="J20" s="42">
        <f t="shared" si="1"/>
        <v>0</v>
      </c>
      <c r="K20" s="42">
        <f t="shared" si="1"/>
        <v>0</v>
      </c>
      <c r="L20" s="42">
        <f t="shared" si="1"/>
        <v>0</v>
      </c>
    </row>
    <row r="21" spans="2:12" x14ac:dyDescent="0.2">
      <c r="B21" s="338" t="s">
        <v>73</v>
      </c>
      <c r="C21" s="338"/>
      <c r="D21" s="22" t="s">
        <v>162</v>
      </c>
      <c r="E21" s="26">
        <f>-IF(SUM(F16:J16)&gt;0,SUM(F21:J21)/SUM(F16:J16),0)</f>
        <v>0</v>
      </c>
      <c r="F21" s="42">
        <f>-IF(INGRESOS!$A$7="TECNICO",INGRESOS!Q75,0)</f>
        <v>0</v>
      </c>
      <c r="G21" s="42">
        <f>-IF(INGRESOS!$A$7="TECNICO",INGRESOS!R75,0)</f>
        <v>0</v>
      </c>
      <c r="H21" s="42">
        <f>-IF(INGRESOS!$A$7="TECNICO",INGRESOS!S75,0)</f>
        <v>0</v>
      </c>
      <c r="I21" s="42">
        <f>-IF(INGRESOS!$A$7="TECNICO",INGRESOS!T75,0)</f>
        <v>0</v>
      </c>
      <c r="J21" s="42">
        <f>-IF(INGRESOS!$A$7="TECNICO",INGRESOS!U75,0)</f>
        <v>0</v>
      </c>
      <c r="K21" s="42">
        <f>-IF(INGRESOS!$A$7="TECNICO",INGRESOS!V75,0)</f>
        <v>0</v>
      </c>
      <c r="L21" s="42">
        <f>-IF(INGRESOS!$A$7="TECNICO",INGRESOS!W75,0)</f>
        <v>0</v>
      </c>
    </row>
    <row r="22" spans="2:12" x14ac:dyDescent="0.2">
      <c r="B22" s="339" t="s">
        <v>421</v>
      </c>
      <c r="C22" s="339"/>
      <c r="D22" s="339"/>
      <c r="E22" s="339"/>
      <c r="F22" s="339"/>
      <c r="G22" s="339"/>
      <c r="H22" s="339"/>
      <c r="I22" s="339"/>
      <c r="J22" s="339"/>
      <c r="K22" s="339"/>
      <c r="L22" s="339"/>
    </row>
    <row r="23" spans="2:12" x14ac:dyDescent="0.2">
      <c r="B23" s="338" t="s">
        <v>56</v>
      </c>
      <c r="C23" s="338"/>
      <c r="D23" s="20"/>
      <c r="E23" s="1"/>
      <c r="F23" s="42">
        <f>IF(INGRESOS!$A$7="TECNOLOGICO",INGRESOS!Q14,0)</f>
        <v>0</v>
      </c>
      <c r="G23" s="42">
        <f>IF(INGRESOS!$A$7="TECNOLOGICO",INGRESOS!R14,0)</f>
        <v>0</v>
      </c>
      <c r="H23" s="42">
        <f>IF(INGRESOS!$A$7="TECNOLOGICO",INGRESOS!S14,0)</f>
        <v>0</v>
      </c>
      <c r="I23" s="42">
        <f>IF(INGRESOS!$A$7="TECNOLOGICO",INGRESOS!T14,0)</f>
        <v>0</v>
      </c>
      <c r="J23" s="42">
        <f>IF(INGRESOS!$A$7="TECNOLOGICO",INGRESOS!U14,0)</f>
        <v>0</v>
      </c>
      <c r="K23" s="42">
        <f>IF(INGRESOS!$A$7="TECNOLOGICO",INGRESOS!V14,0)</f>
        <v>0</v>
      </c>
      <c r="L23" s="42">
        <f>IF(INGRESOS!$A$7="TECNOLOGICO",INGRESOS!W14,0)</f>
        <v>0</v>
      </c>
    </row>
    <row r="24" spans="2:12" x14ac:dyDescent="0.2">
      <c r="B24" s="338" t="s">
        <v>57</v>
      </c>
      <c r="C24" s="338"/>
      <c r="D24" s="20"/>
      <c r="E24" s="1"/>
      <c r="F24" s="42">
        <f>IF(INGRESOS!$A$7="TECNOLOGICO",INGRESOS!Q47,0)</f>
        <v>0</v>
      </c>
      <c r="G24" s="42">
        <f>IF(INGRESOS!$A$7="TECNOLOGICO",INGRESOS!R47,0)</f>
        <v>0</v>
      </c>
      <c r="H24" s="42">
        <f>IF(INGRESOS!$A$7="TECNOLOGICO",INGRESOS!S47,0)</f>
        <v>0</v>
      </c>
      <c r="I24" s="42">
        <f>IF(INGRESOS!$A$7="TECNOLOGICO",INGRESOS!T47,0)</f>
        <v>0</v>
      </c>
      <c r="J24" s="42">
        <f>IF(INGRESOS!$A$7="TECNOLOGICO",INGRESOS!U47,0)</f>
        <v>0</v>
      </c>
      <c r="K24" s="42">
        <f>IF(INGRESOS!$A$7="TECNOLOGICO",INGRESOS!V47,0)</f>
        <v>0</v>
      </c>
      <c r="L24" s="42">
        <f>IF(INGRESOS!$A$7="TECNOLOGICO",INGRESOS!W47,0)</f>
        <v>0</v>
      </c>
    </row>
    <row r="25" spans="2:12" x14ac:dyDescent="0.2">
      <c r="B25" s="338" t="s">
        <v>86</v>
      </c>
      <c r="C25" s="338"/>
      <c r="D25" s="19"/>
      <c r="E25" s="1"/>
      <c r="F25" s="42">
        <f>IF(INGRESOS!$A$7="TECNOLOGICO",INGRESOS!Q54,0)</f>
        <v>0</v>
      </c>
      <c r="G25" s="42">
        <f>IF(INGRESOS!$A$7="TECNOLOGICO",INGRESOS!R54,0)</f>
        <v>0</v>
      </c>
      <c r="H25" s="42">
        <f>IF(INGRESOS!$A$7="TECNOLOGICO",INGRESOS!S54,0)</f>
        <v>0</v>
      </c>
      <c r="I25" s="42">
        <f>IF(INGRESOS!$A$7="TECNOLOGICO",INGRESOS!T54,0)</f>
        <v>0</v>
      </c>
      <c r="J25" s="42">
        <f>IF(INGRESOS!$A$7="TECNOLOGICO",INGRESOS!U54,0)</f>
        <v>0</v>
      </c>
      <c r="K25" s="42">
        <f>IF(INGRESOS!$A$7="TECNOLOGICO",INGRESOS!V54,0)</f>
        <v>0</v>
      </c>
      <c r="L25" s="42">
        <f>IF(INGRESOS!$A$7="TECNOLOGICO",INGRESOS!W54,0)</f>
        <v>0</v>
      </c>
    </row>
    <row r="26" spans="2:12" x14ac:dyDescent="0.2">
      <c r="B26" s="338" t="s">
        <v>100</v>
      </c>
      <c r="C26" s="338"/>
      <c r="D26" s="20"/>
      <c r="E26" s="1"/>
      <c r="F26" s="42">
        <f>IF(INGRESOS!$A$7="TECNOLOGICO",INGRESOS!Q68,0)</f>
        <v>0</v>
      </c>
      <c r="G26" s="42">
        <f>IF(INGRESOS!$A$7="TECNOLOGICO",INGRESOS!R68,0)</f>
        <v>0</v>
      </c>
      <c r="H26" s="42">
        <f>IF(INGRESOS!$A$7="TECNOLOGICO",INGRESOS!S68,0)</f>
        <v>0</v>
      </c>
      <c r="I26" s="42">
        <f>IF(INGRESOS!$A$7="TECNOLOGICO",INGRESOS!T68,0)</f>
        <v>0</v>
      </c>
      <c r="J26" s="42">
        <f>IF(INGRESOS!$A$7="TECNOLOGICO",INGRESOS!U68,0)</f>
        <v>0</v>
      </c>
      <c r="K26" s="42">
        <f>IF(INGRESOS!$A$7="TECNOLOGICO",INGRESOS!V68,0)</f>
        <v>0</v>
      </c>
      <c r="L26" s="42">
        <f>IF(INGRESOS!$A$7="TECNOLOGICO",INGRESOS!W68,0)</f>
        <v>0</v>
      </c>
    </row>
    <row r="27" spans="2:12" x14ac:dyDescent="0.2">
      <c r="B27" s="338" t="s">
        <v>74</v>
      </c>
      <c r="C27" s="338"/>
      <c r="D27" s="21">
        <v>0</v>
      </c>
      <c r="E27" s="1"/>
      <c r="F27" s="42">
        <f>-F$24*$D27</f>
        <v>0</v>
      </c>
      <c r="G27" s="42">
        <f t="shared" ref="G27:L28" si="2">-G$24*$D27</f>
        <v>0</v>
      </c>
      <c r="H27" s="42">
        <f t="shared" si="2"/>
        <v>0</v>
      </c>
      <c r="I27" s="42">
        <f t="shared" si="2"/>
        <v>0</v>
      </c>
      <c r="J27" s="42">
        <f t="shared" si="2"/>
        <v>0</v>
      </c>
      <c r="K27" s="42">
        <f t="shared" si="2"/>
        <v>0</v>
      </c>
      <c r="L27" s="42">
        <f t="shared" si="2"/>
        <v>0</v>
      </c>
    </row>
    <row r="28" spans="2:12" x14ac:dyDescent="0.2">
      <c r="B28" s="338" t="s">
        <v>75</v>
      </c>
      <c r="C28" s="338"/>
      <c r="D28" s="21">
        <v>0.1</v>
      </c>
      <c r="E28" s="1"/>
      <c r="F28" s="42">
        <f>-F$24*$D28</f>
        <v>0</v>
      </c>
      <c r="G28" s="42">
        <f t="shared" si="2"/>
        <v>0</v>
      </c>
      <c r="H28" s="42">
        <f t="shared" si="2"/>
        <v>0</v>
      </c>
      <c r="I28" s="42">
        <f t="shared" si="2"/>
        <v>0</v>
      </c>
      <c r="J28" s="42">
        <f t="shared" si="2"/>
        <v>0</v>
      </c>
      <c r="K28" s="42">
        <f t="shared" si="2"/>
        <v>0</v>
      </c>
      <c r="L28" s="42">
        <f t="shared" si="2"/>
        <v>0</v>
      </c>
    </row>
    <row r="29" spans="2:12" x14ac:dyDescent="0.2">
      <c r="B29" s="338" t="s">
        <v>76</v>
      </c>
      <c r="C29" s="338"/>
      <c r="D29" s="22" t="s">
        <v>162</v>
      </c>
      <c r="E29" s="26">
        <f>-IF(SUM(F24:J24)&gt;0,SUM(F29:J29)/SUM(F24:J24),0)</f>
        <v>0</v>
      </c>
      <c r="F29" s="42">
        <f>-IF(INGRESOS!$A$7="TECNOLOGICO",INGRESOS!Q75,0)</f>
        <v>0</v>
      </c>
      <c r="G29" s="42">
        <f>-IF(INGRESOS!$A$7="TECNOLOGICO",INGRESOS!R75,0)</f>
        <v>0</v>
      </c>
      <c r="H29" s="42">
        <f>-IF(INGRESOS!$A$7="TECNOLOGICO",INGRESOS!S75,0)</f>
        <v>0</v>
      </c>
      <c r="I29" s="42">
        <f>-IF(INGRESOS!$A$7="TECNOLOGICO",INGRESOS!T75,0)</f>
        <v>0</v>
      </c>
      <c r="J29" s="42">
        <f>-IF(INGRESOS!$A$7="TECNOLOGICO",INGRESOS!U75,0)</f>
        <v>0</v>
      </c>
      <c r="K29" s="42">
        <f>-IF(INGRESOS!$A$7="TECNOLOGICO",INGRESOS!V75,0)</f>
        <v>0</v>
      </c>
      <c r="L29" s="42">
        <f>-IF(INGRESOS!$A$7="TECNOLOGICO",INGRESOS!W75,0)</f>
        <v>0</v>
      </c>
    </row>
    <row r="30" spans="2:12" x14ac:dyDescent="0.2">
      <c r="B30" s="339" t="s">
        <v>422</v>
      </c>
      <c r="C30" s="339"/>
      <c r="D30" s="339"/>
      <c r="E30" s="339"/>
      <c r="F30" s="339"/>
      <c r="G30" s="339"/>
      <c r="H30" s="339"/>
      <c r="I30" s="339"/>
      <c r="J30" s="339"/>
      <c r="K30" s="339"/>
      <c r="L30" s="339"/>
    </row>
    <row r="31" spans="2:12" x14ac:dyDescent="0.2">
      <c r="B31" s="338" t="s">
        <v>58</v>
      </c>
      <c r="C31" s="338"/>
      <c r="D31" s="19"/>
      <c r="E31" s="1"/>
      <c r="F31" s="42">
        <f>IF(INGRESOS!$A$7="PROFESIONAL",INGRESOS!Q14,0)</f>
        <v>0</v>
      </c>
      <c r="G31" s="42">
        <f>IF(INGRESOS!$A$7="PROFESIONAL",INGRESOS!R14,0)</f>
        <v>0</v>
      </c>
      <c r="H31" s="42">
        <f>IF(INGRESOS!$A$7="PROFESIONAL",INGRESOS!S14,0)</f>
        <v>0</v>
      </c>
      <c r="I31" s="42">
        <f>IF(INGRESOS!$A$7="PROFESIONAL",INGRESOS!T14,0)</f>
        <v>0</v>
      </c>
      <c r="J31" s="42">
        <f>IF(INGRESOS!$A$7="PROFESIONAL",INGRESOS!U14,0)</f>
        <v>0</v>
      </c>
      <c r="K31" s="42">
        <f>IF(INGRESOS!$A$7="PROFESIONAL",INGRESOS!V14,0)</f>
        <v>0</v>
      </c>
      <c r="L31" s="42">
        <f>IF(INGRESOS!$A$7="PROFESIONAL",INGRESOS!W14,0)</f>
        <v>0</v>
      </c>
    </row>
    <row r="32" spans="2:12" x14ac:dyDescent="0.2">
      <c r="B32" s="338" t="s">
        <v>59</v>
      </c>
      <c r="C32" s="338"/>
      <c r="D32" s="21"/>
      <c r="E32" s="43"/>
      <c r="F32" s="42">
        <f>IF(INGRESOS!$A$7="PROFESIONAL",INGRESOS!Q47,0)</f>
        <v>0</v>
      </c>
      <c r="G32" s="42">
        <f>IF(INGRESOS!$A$7="PROFESIONAL",INGRESOS!R47,0)</f>
        <v>0</v>
      </c>
      <c r="H32" s="42">
        <f>IF(INGRESOS!$A$7="PROFESIONAL",INGRESOS!S47,0)</f>
        <v>0</v>
      </c>
      <c r="I32" s="42">
        <f>IF(INGRESOS!$A$7="PROFESIONAL",INGRESOS!T47,0)</f>
        <v>0</v>
      </c>
      <c r="J32" s="42">
        <f>IF(INGRESOS!$A$7="PROFESIONAL",INGRESOS!U47,0)</f>
        <v>0</v>
      </c>
      <c r="K32" s="42">
        <f>IF(INGRESOS!$A$7="PROFESIONAL",INGRESOS!V47,0)</f>
        <v>0</v>
      </c>
      <c r="L32" s="42">
        <f>IF(INGRESOS!$A$7="PROFESIONAL",INGRESOS!W47,0)</f>
        <v>0</v>
      </c>
    </row>
    <row r="33" spans="2:12" x14ac:dyDescent="0.2">
      <c r="B33" s="338" t="s">
        <v>87</v>
      </c>
      <c r="C33" s="338"/>
      <c r="D33" s="21"/>
      <c r="E33" s="1"/>
      <c r="F33" s="42">
        <f>IF(INGRESOS!$A$7="PROFESIONAL",INGRESOS!Q54,0)</f>
        <v>0</v>
      </c>
      <c r="G33" s="42">
        <f>IF(INGRESOS!$A$7="PROFESIONAL",INGRESOS!R54,0)</f>
        <v>0</v>
      </c>
      <c r="H33" s="42">
        <f>IF(INGRESOS!$A$7="PROFESIONAL",INGRESOS!S54,0)</f>
        <v>0</v>
      </c>
      <c r="I33" s="42">
        <f>IF(INGRESOS!$A$7="PROFESIONAL",INGRESOS!T54,0)</f>
        <v>0</v>
      </c>
      <c r="J33" s="42">
        <f>IF(INGRESOS!$A$7="PROFESIONAL",INGRESOS!U54,0)</f>
        <v>0</v>
      </c>
      <c r="K33" s="42">
        <f>IF(INGRESOS!$A$7="PROFESIONAL",INGRESOS!V54,0)</f>
        <v>0</v>
      </c>
      <c r="L33" s="42">
        <f>IF(INGRESOS!$A$7="PROFESIONAL",INGRESOS!W54,0)</f>
        <v>0</v>
      </c>
    </row>
    <row r="34" spans="2:12" x14ac:dyDescent="0.2">
      <c r="B34" s="338" t="s">
        <v>101</v>
      </c>
      <c r="C34" s="338"/>
      <c r="D34" s="21"/>
      <c r="E34" s="1"/>
      <c r="F34" s="42">
        <f>IF(INGRESOS!$A$7="PROFESIONAL",INGRESOS!Q68,0)</f>
        <v>0</v>
      </c>
      <c r="G34" s="42">
        <f>IF(INGRESOS!$A$7="PROFESIONAL",INGRESOS!R68,0)</f>
        <v>0</v>
      </c>
      <c r="H34" s="42">
        <f>IF(INGRESOS!$A$7="PROFESIONAL",INGRESOS!S68,0)</f>
        <v>0</v>
      </c>
      <c r="I34" s="42">
        <f>IF(INGRESOS!$A$7="PROFESIONAL",INGRESOS!T68,0)</f>
        <v>0</v>
      </c>
      <c r="J34" s="42">
        <f>IF(INGRESOS!$A$7="PROFESIONAL",INGRESOS!U68,0)</f>
        <v>0</v>
      </c>
      <c r="K34" s="42">
        <f>IF(INGRESOS!$A$7="PROFESIONAL",INGRESOS!V68,0)</f>
        <v>0</v>
      </c>
      <c r="L34" s="42">
        <f>IF(INGRESOS!$A$7="PROFESIONAL",INGRESOS!W68,0)</f>
        <v>0</v>
      </c>
    </row>
    <row r="35" spans="2:12" x14ac:dyDescent="0.2">
      <c r="B35" s="338" t="s">
        <v>80</v>
      </c>
      <c r="C35" s="338"/>
      <c r="D35" s="21"/>
      <c r="E35" s="1"/>
      <c r="F35" s="42">
        <f>-F$32*$D35</f>
        <v>0</v>
      </c>
      <c r="G35" s="42">
        <f t="shared" ref="G35:L35" si="3">-G$32*$D35</f>
        <v>0</v>
      </c>
      <c r="H35" s="42">
        <f t="shared" si="3"/>
        <v>0</v>
      </c>
      <c r="I35" s="42">
        <f t="shared" si="3"/>
        <v>0</v>
      </c>
      <c r="J35" s="42">
        <f t="shared" si="3"/>
        <v>0</v>
      </c>
      <c r="K35" s="42">
        <f t="shared" si="3"/>
        <v>0</v>
      </c>
      <c r="L35" s="42">
        <f t="shared" si="3"/>
        <v>0</v>
      </c>
    </row>
    <row r="36" spans="2:12" x14ac:dyDescent="0.2">
      <c r="B36" s="338" t="s">
        <v>81</v>
      </c>
      <c r="C36" s="338"/>
      <c r="D36" s="21"/>
      <c r="E36" s="21">
        <v>0.1</v>
      </c>
      <c r="F36" s="42">
        <f t="shared" ref="F36:L36" si="4">-F$32*$E36</f>
        <v>0</v>
      </c>
      <c r="G36" s="42">
        <f t="shared" si="4"/>
        <v>0</v>
      </c>
      <c r="H36" s="42">
        <f t="shared" si="4"/>
        <v>0</v>
      </c>
      <c r="I36" s="42">
        <f t="shared" si="4"/>
        <v>0</v>
      </c>
      <c r="J36" s="42">
        <f t="shared" si="4"/>
        <v>0</v>
      </c>
      <c r="K36" s="42">
        <f t="shared" si="4"/>
        <v>0</v>
      </c>
      <c r="L36" s="42">
        <f t="shared" si="4"/>
        <v>0</v>
      </c>
    </row>
    <row r="37" spans="2:12" x14ac:dyDescent="0.2">
      <c r="B37" s="338" t="s">
        <v>348</v>
      </c>
      <c r="C37" s="338"/>
      <c r="D37" s="22"/>
      <c r="E37" s="26">
        <f>-IF(SUM(F32:J32)&gt;0,SUM(F37:J37)/SUM(F32:J32),0)</f>
        <v>0</v>
      </c>
      <c r="F37" s="42">
        <f>-IF(INGRESOS!$A$7="PROFESIONAL",INGRESOS!Q75,0)</f>
        <v>0</v>
      </c>
      <c r="G37" s="42">
        <f>-IF(INGRESOS!$A$7="PROFESIONAL",INGRESOS!R75,0)</f>
        <v>0</v>
      </c>
      <c r="H37" s="42">
        <f>-IF(INGRESOS!$A$7="PROFESIONAL",INGRESOS!S75,0)</f>
        <v>0</v>
      </c>
      <c r="I37" s="42">
        <f>-IF(INGRESOS!$A$7="PROFESIONAL",INGRESOS!T75,0)</f>
        <v>0</v>
      </c>
      <c r="J37" s="42">
        <f>-IF(INGRESOS!$A$7="PROFESIONAL",INGRESOS!U75,0)</f>
        <v>0</v>
      </c>
      <c r="K37" s="42">
        <f>-IF(INGRESOS!$A$7="PROFESIONAL",INGRESOS!V75,0)</f>
        <v>0</v>
      </c>
      <c r="L37" s="42">
        <f>-IF(INGRESOS!$A$7="PROFESIONAL",INGRESOS!W75,0)</f>
        <v>0</v>
      </c>
    </row>
    <row r="38" spans="2:12" x14ac:dyDescent="0.2">
      <c r="B38" s="339" t="s">
        <v>423</v>
      </c>
      <c r="C38" s="339"/>
      <c r="D38" s="339"/>
      <c r="E38" s="339"/>
      <c r="F38" s="339"/>
      <c r="G38" s="339"/>
      <c r="H38" s="339"/>
      <c r="I38" s="339"/>
      <c r="J38" s="339"/>
      <c r="K38" s="339"/>
      <c r="L38" s="339"/>
    </row>
    <row r="39" spans="2:12" x14ac:dyDescent="0.2">
      <c r="B39" s="338" t="s">
        <v>60</v>
      </c>
      <c r="C39" s="338"/>
      <c r="D39" s="21"/>
      <c r="E39" s="1"/>
      <c r="F39" s="42">
        <f>IF(INGRESOS!$A$7="POSTGRADO",INGRESOS!Q14,0)</f>
        <v>0</v>
      </c>
      <c r="G39" s="42">
        <f>IF(INGRESOS!$A$7="POSTGRADO",INGRESOS!R14,0)</f>
        <v>0</v>
      </c>
      <c r="H39" s="42">
        <f>IF(INGRESOS!$A$7="POSTGRADO",INGRESOS!S14,0)</f>
        <v>0</v>
      </c>
      <c r="I39" s="42">
        <f>IF(INGRESOS!$A$7="POSTGRADO",INGRESOS!T14,0)</f>
        <v>0</v>
      </c>
      <c r="J39" s="42">
        <f>IF(INGRESOS!$A$7="POSTGRADO",INGRESOS!U14,0)</f>
        <v>0</v>
      </c>
      <c r="K39" s="42">
        <f>IF(INGRESOS!$A$7="POSTGRADO",INGRESOS!V14,0)</f>
        <v>0</v>
      </c>
      <c r="L39" s="42">
        <f>IF(INGRESOS!$A$7="POSTGRADO",INGRESOS!W14,0)</f>
        <v>0</v>
      </c>
    </row>
    <row r="40" spans="2:12" x14ac:dyDescent="0.2">
      <c r="B40" s="338" t="s">
        <v>61</v>
      </c>
      <c r="C40" s="338"/>
      <c r="D40" s="21"/>
      <c r="E40" s="1"/>
      <c r="F40" s="42">
        <f>IF(INGRESOS!$A$7="POSTGRADO",INGRESOS!Q47,0)</f>
        <v>0</v>
      </c>
      <c r="G40" s="42">
        <f>IF(INGRESOS!$A$7="POSTGRADO",INGRESOS!R47,0)</f>
        <v>0</v>
      </c>
      <c r="H40" s="42">
        <f>IF(INGRESOS!$A$7="POSTGRADO",INGRESOS!S47,0)</f>
        <v>0</v>
      </c>
      <c r="I40" s="42">
        <f>IF(INGRESOS!$A$7="POSTGRADO",INGRESOS!T47,0)</f>
        <v>0</v>
      </c>
      <c r="J40" s="42">
        <f>IF(INGRESOS!$A$7="POSTGRADO",INGRESOS!U47,0)</f>
        <v>0</v>
      </c>
      <c r="K40" s="42">
        <f>IF(INGRESOS!$A$7="POSTGRADO",INGRESOS!V47,0)</f>
        <v>0</v>
      </c>
      <c r="L40" s="42">
        <f>IF(INGRESOS!$A$7="POSTGRADO",INGRESOS!W47,0)</f>
        <v>0</v>
      </c>
    </row>
    <row r="41" spans="2:12" x14ac:dyDescent="0.2">
      <c r="B41" s="338" t="s">
        <v>88</v>
      </c>
      <c r="C41" s="338"/>
      <c r="D41" s="21"/>
      <c r="E41" s="1"/>
      <c r="F41" s="42">
        <f>IF(INGRESOS!$A$7="POSTGRADO",INGRESOS!Q54,0)</f>
        <v>0</v>
      </c>
      <c r="G41" s="42">
        <f>IF(INGRESOS!$A$7="POSTGRADO",INGRESOS!R54,0)</f>
        <v>0</v>
      </c>
      <c r="H41" s="42">
        <f>IF(INGRESOS!$A$7="POSTGRADO",INGRESOS!S54,0)</f>
        <v>0</v>
      </c>
      <c r="I41" s="42">
        <f>IF(INGRESOS!$A$7="POSTGRADO",INGRESOS!T54,0)</f>
        <v>0</v>
      </c>
      <c r="J41" s="42">
        <f>IF(INGRESOS!$A$7="POSTGRADO",INGRESOS!U54,0)</f>
        <v>0</v>
      </c>
      <c r="K41" s="42">
        <f>IF(INGRESOS!$A$7="POSTGRADO",INGRESOS!V54,0)</f>
        <v>0</v>
      </c>
      <c r="L41" s="42">
        <f>IF(INGRESOS!$A$7="POSTGRADO",INGRESOS!W54,0)</f>
        <v>0</v>
      </c>
    </row>
    <row r="42" spans="2:12" x14ac:dyDescent="0.2">
      <c r="B42" s="338" t="s">
        <v>102</v>
      </c>
      <c r="C42" s="338"/>
      <c r="D42" s="21"/>
      <c r="E42" s="1"/>
      <c r="F42" s="42">
        <f>IF(INGRESOS!$A$7="POSTGRADO",INGRESOS!Q68,0)</f>
        <v>0</v>
      </c>
      <c r="G42" s="42">
        <f>IF(INGRESOS!$A$7="POSTGRADO",INGRESOS!R68,0)</f>
        <v>0</v>
      </c>
      <c r="H42" s="42">
        <f>IF(INGRESOS!$A$7="POSTGRADO",INGRESOS!S68,0)</f>
        <v>0</v>
      </c>
      <c r="I42" s="42">
        <f>IF(INGRESOS!$A$7="POSTGRADO",INGRESOS!T68,0)</f>
        <v>0</v>
      </c>
      <c r="J42" s="42">
        <f>IF(INGRESOS!$A$7="POSTGRADO",INGRESOS!U68,0)</f>
        <v>0</v>
      </c>
      <c r="K42" s="42">
        <f>IF(INGRESOS!$A$7="POSTGRADO",INGRESOS!V68,0)</f>
        <v>0</v>
      </c>
      <c r="L42" s="42">
        <f>IF(INGRESOS!$A$7="POSTGRADO",INGRESOS!W68,0)</f>
        <v>0</v>
      </c>
    </row>
    <row r="43" spans="2:12" x14ac:dyDescent="0.2">
      <c r="B43" s="338" t="s">
        <v>77</v>
      </c>
      <c r="C43" s="338"/>
      <c r="D43" s="21">
        <v>0</v>
      </c>
      <c r="E43" s="1"/>
      <c r="F43" s="42">
        <f>-F$40*$D43</f>
        <v>0</v>
      </c>
      <c r="G43" s="42">
        <f t="shared" ref="G43:L44" si="5">-G$40*$D43</f>
        <v>0</v>
      </c>
      <c r="H43" s="42">
        <f t="shared" si="5"/>
        <v>0</v>
      </c>
      <c r="I43" s="42">
        <f t="shared" si="5"/>
        <v>0</v>
      </c>
      <c r="J43" s="42">
        <f t="shared" si="5"/>
        <v>0</v>
      </c>
      <c r="K43" s="42">
        <f t="shared" si="5"/>
        <v>0</v>
      </c>
      <c r="L43" s="42">
        <f t="shared" si="5"/>
        <v>0</v>
      </c>
    </row>
    <row r="44" spans="2:12" x14ac:dyDescent="0.2">
      <c r="B44" s="338" t="s">
        <v>78</v>
      </c>
      <c r="C44" s="338"/>
      <c r="D44" s="21">
        <v>0.1</v>
      </c>
      <c r="E44" s="1"/>
      <c r="F44" s="42">
        <f>-F$40*$D44</f>
        <v>0</v>
      </c>
      <c r="G44" s="42">
        <f t="shared" si="5"/>
        <v>0</v>
      </c>
      <c r="H44" s="42">
        <f t="shared" si="5"/>
        <v>0</v>
      </c>
      <c r="I44" s="42">
        <f t="shared" si="5"/>
        <v>0</v>
      </c>
      <c r="J44" s="42">
        <f t="shared" si="5"/>
        <v>0</v>
      </c>
      <c r="K44" s="42">
        <f t="shared" si="5"/>
        <v>0</v>
      </c>
      <c r="L44" s="42">
        <f t="shared" si="5"/>
        <v>0</v>
      </c>
    </row>
    <row r="45" spans="2:12" x14ac:dyDescent="0.2">
      <c r="B45" s="338" t="s">
        <v>79</v>
      </c>
      <c r="C45" s="338"/>
      <c r="D45" s="22" t="s">
        <v>162</v>
      </c>
      <c r="E45" s="26">
        <f>-IF(SUM(F40:J40)&gt;0,SUM(F45:J45)/SUM(F40:J40),0)</f>
        <v>0</v>
      </c>
      <c r="F45" s="42">
        <f>-IF(INGRESOS!$A$7="POSTGRADO",INGRESOS!Q75,0)</f>
        <v>0</v>
      </c>
      <c r="G45" s="42">
        <f>-IF(INGRESOS!$A$7="POSTGRADO",INGRESOS!R75,0)</f>
        <v>0</v>
      </c>
      <c r="H45" s="42">
        <f>-IF(INGRESOS!$A$7="POSTGRADO",INGRESOS!S75,0)</f>
        <v>0</v>
      </c>
      <c r="I45" s="42">
        <f>-IF(INGRESOS!$A$7="POSTGRADO",INGRESOS!T75,0)</f>
        <v>0</v>
      </c>
      <c r="J45" s="42">
        <f>-IF(INGRESOS!$A$7="POSTGRADO",INGRESOS!U75,0)</f>
        <v>0</v>
      </c>
      <c r="K45" s="42">
        <f>-IF(INGRESOS!$A$7="POSTGRADO",INGRESOS!V75,0)</f>
        <v>0</v>
      </c>
      <c r="L45" s="42">
        <f>-IF(INGRESOS!$A$7="POSTGRADO",INGRESOS!W75,0)</f>
        <v>0</v>
      </c>
    </row>
    <row r="46" spans="2:12" x14ac:dyDescent="0.2">
      <c r="B46" s="339" t="s">
        <v>424</v>
      </c>
      <c r="C46" s="339"/>
      <c r="D46" s="339"/>
      <c r="E46" s="339"/>
      <c r="F46" s="339"/>
      <c r="G46" s="339"/>
      <c r="H46" s="339"/>
      <c r="I46" s="339"/>
      <c r="J46" s="339"/>
      <c r="K46" s="339"/>
      <c r="L46" s="339"/>
    </row>
    <row r="47" spans="2:12" x14ac:dyDescent="0.2">
      <c r="B47" s="338" t="s">
        <v>64</v>
      </c>
      <c r="C47" s="338"/>
      <c r="D47" s="21"/>
      <c r="E47" s="1"/>
      <c r="F47" s="42">
        <f>IF(INGRESOS!$A$7="EXTENSIVA",INGRESOS!Q21,0)</f>
        <v>0</v>
      </c>
      <c r="G47" s="42">
        <f>IF(INGRESOS!$A$7="EXTENSIVA",INGRESOS!R21,0)</f>
        <v>0</v>
      </c>
      <c r="H47" s="42">
        <f>IF(INGRESOS!$A$7="EXTENSIVA",INGRESOS!S21,0)</f>
        <v>0</v>
      </c>
      <c r="I47" s="42">
        <f>IF(INGRESOS!$A$7="EXTENSIVA",INGRESOS!T21,0)</f>
        <v>0</v>
      </c>
      <c r="J47" s="42">
        <f>IF(INGRESOS!$A$7="EXTENSIVA",INGRESOS!U21,0)</f>
        <v>0</v>
      </c>
      <c r="K47" s="42">
        <f>IF(INGRESOS!$A$7="EXTENSIVA",INGRESOS!V21,0)</f>
        <v>0</v>
      </c>
      <c r="L47" s="42">
        <f>IF(INGRESOS!$A$7="EXTENSIVA",INGRESOS!W21,0)</f>
        <v>0</v>
      </c>
    </row>
    <row r="48" spans="2:12" x14ac:dyDescent="0.2">
      <c r="B48" s="338" t="s">
        <v>65</v>
      </c>
      <c r="C48" s="338"/>
      <c r="D48" s="21"/>
      <c r="E48" s="1"/>
      <c r="F48" s="42">
        <f>IF(INGRESOS!$A$7="EXTENSIVA",INGRESOS!Q22,0)</f>
        <v>0</v>
      </c>
      <c r="G48" s="42">
        <f>IF(INGRESOS!$A$7="EXTENSIVA",INGRESOS!R22,0)</f>
        <v>0</v>
      </c>
      <c r="H48" s="42">
        <f>IF(INGRESOS!$A$7="EXTENSIVA",INGRESOS!S22,0)</f>
        <v>0</v>
      </c>
      <c r="I48" s="42">
        <f>IF(INGRESOS!$A$7="EXTENSIVA",INGRESOS!T22,0)</f>
        <v>0</v>
      </c>
      <c r="J48" s="42">
        <f>IF(INGRESOS!$A$7="EXTENSIVA",INGRESOS!U22,0)</f>
        <v>0</v>
      </c>
      <c r="K48" s="42">
        <f>IF(INGRESOS!$A$7="EXTENSIVA",INGRESOS!V22,0)</f>
        <v>0</v>
      </c>
      <c r="L48" s="42">
        <f>IF(INGRESOS!$A$7="EXTENSIVA",INGRESOS!W22,0)</f>
        <v>0</v>
      </c>
    </row>
    <row r="49" spans="2:12" x14ac:dyDescent="0.2">
      <c r="B49" s="338" t="s">
        <v>66</v>
      </c>
      <c r="C49" s="338"/>
      <c r="D49" s="21"/>
      <c r="E49" s="1"/>
      <c r="F49" s="42">
        <f>IF(INGRESOS!$A$7="EXTENSIVA",INGRESOS!Q23,0)</f>
        <v>0</v>
      </c>
      <c r="G49" s="42">
        <f>IF(INGRESOS!$A$7="EXTENSIVA",INGRESOS!R23,0)</f>
        <v>0</v>
      </c>
      <c r="H49" s="42">
        <f>IF(INGRESOS!$A$7="EXTENSIVA",INGRESOS!S23,0)</f>
        <v>0</v>
      </c>
      <c r="I49" s="42">
        <f>IF(INGRESOS!$A$7="EXTENSIVA",INGRESOS!T23,0)</f>
        <v>0</v>
      </c>
      <c r="J49" s="42">
        <f>IF(INGRESOS!$A$7="EXTENSIVA",INGRESOS!U23,0)</f>
        <v>0</v>
      </c>
      <c r="K49" s="42">
        <f>IF(INGRESOS!$A$7="EXTENSIVA",INGRESOS!V23,0)</f>
        <v>0</v>
      </c>
      <c r="L49" s="42">
        <f>IF(INGRESOS!$A$7="EXTENSIVA",INGRESOS!W23,0)</f>
        <v>0</v>
      </c>
    </row>
    <row r="50" spans="2:12" x14ac:dyDescent="0.2">
      <c r="B50" s="338" t="s">
        <v>89</v>
      </c>
      <c r="C50" s="338"/>
      <c r="D50" s="21"/>
      <c r="E50" s="1"/>
      <c r="F50" s="42">
        <f>IF(INGRESOS!$A$7="EXTENSIVA",INGRESOS!Q14,0)</f>
        <v>0</v>
      </c>
      <c r="G50" s="42">
        <f>IF(INGRESOS!$A$7="EXTENSIVA",INGRESOS!R14,0)</f>
        <v>0</v>
      </c>
      <c r="H50" s="42">
        <f>IF(INGRESOS!$A$7="EXTENSIVA",INGRESOS!S14,0)</f>
        <v>0</v>
      </c>
      <c r="I50" s="42">
        <f>IF(INGRESOS!$A$7="EXTENSIVA",INGRESOS!T14,0)</f>
        <v>0</v>
      </c>
      <c r="J50" s="42">
        <f>IF(INGRESOS!$A$7="EXTENSIVA",INGRESOS!U14,0)</f>
        <v>0</v>
      </c>
      <c r="K50" s="42">
        <f>IF(INGRESOS!$A$7="EXTENSIVA",INGRESOS!V14,0)</f>
        <v>0</v>
      </c>
      <c r="L50" s="42">
        <f>IF(INGRESOS!$A$7="EXTENSIVA",INGRESOS!W14,0)</f>
        <v>0</v>
      </c>
    </row>
    <row r="51" spans="2:12" x14ac:dyDescent="0.2">
      <c r="B51" s="338" t="s">
        <v>82</v>
      </c>
      <c r="C51" s="338"/>
      <c r="D51" s="21">
        <v>0</v>
      </c>
      <c r="E51" s="1"/>
      <c r="F51" s="42">
        <f>-(F$47+F$48+F$49)*$D51</f>
        <v>0</v>
      </c>
      <c r="G51" s="42">
        <f t="shared" ref="G51:L52" si="6">-(G$47+G$48+G$49)*$D51</f>
        <v>0</v>
      </c>
      <c r="H51" s="42">
        <f t="shared" si="6"/>
        <v>0</v>
      </c>
      <c r="I51" s="42">
        <f t="shared" si="6"/>
        <v>0</v>
      </c>
      <c r="J51" s="42">
        <f t="shared" si="6"/>
        <v>0</v>
      </c>
      <c r="K51" s="42">
        <f t="shared" si="6"/>
        <v>0</v>
      </c>
      <c r="L51" s="42">
        <f t="shared" si="6"/>
        <v>0</v>
      </c>
    </row>
    <row r="52" spans="2:12" x14ac:dyDescent="0.2">
      <c r="B52" s="338" t="s">
        <v>83</v>
      </c>
      <c r="C52" s="338"/>
      <c r="D52" s="21">
        <v>0.1</v>
      </c>
      <c r="E52" s="1"/>
      <c r="F52" s="42">
        <f>-(F$47+F$48+F$49)*$D52</f>
        <v>0</v>
      </c>
      <c r="G52" s="42">
        <f t="shared" si="6"/>
        <v>0</v>
      </c>
      <c r="H52" s="42">
        <f t="shared" si="6"/>
        <v>0</v>
      </c>
      <c r="I52" s="42">
        <f t="shared" si="6"/>
        <v>0</v>
      </c>
      <c r="J52" s="42">
        <f t="shared" si="6"/>
        <v>0</v>
      </c>
      <c r="K52" s="42">
        <f t="shared" si="6"/>
        <v>0</v>
      </c>
      <c r="L52" s="42">
        <f t="shared" si="6"/>
        <v>0</v>
      </c>
    </row>
    <row r="53" spans="2:12" x14ac:dyDescent="0.2">
      <c r="B53" s="338" t="s">
        <v>84</v>
      </c>
      <c r="C53" s="338"/>
      <c r="D53" s="22" t="s">
        <v>162</v>
      </c>
      <c r="E53" s="26">
        <f>-IF(SUM(F47:J49)&gt;0,SUM(F53:J53)/SUM(F47:J49),0)</f>
        <v>0</v>
      </c>
      <c r="F53" s="42">
        <f>-IF(INGRESOS!$A$7="EXTENSIVA",INGRESOS!Q75,0)</f>
        <v>0</v>
      </c>
      <c r="G53" s="42">
        <f>-IF(INGRESOS!$A$7="EXTENSIVA",INGRESOS!R75,0)</f>
        <v>0</v>
      </c>
      <c r="H53" s="42">
        <f>-IF(INGRESOS!$A$7="EXTENSIVA",INGRESOS!S75,0)</f>
        <v>0</v>
      </c>
      <c r="I53" s="42">
        <f>-IF(INGRESOS!$A$7="EXTENSIVA",INGRESOS!T75,0)</f>
        <v>0</v>
      </c>
      <c r="J53" s="42">
        <f>-IF(INGRESOS!$A$7="EXTENSIVA",INGRESOS!U75,0)</f>
        <v>0</v>
      </c>
      <c r="K53" s="42">
        <f>-IF(INGRESOS!$A$7="EXTENSIVA",INGRESOS!V75,0)</f>
        <v>0</v>
      </c>
      <c r="L53" s="42">
        <f>-IF(INGRESOS!$A$7="EXTENSIVA",INGRESOS!W75,0)</f>
        <v>0</v>
      </c>
    </row>
    <row r="54" spans="2:12" x14ac:dyDescent="0.2">
      <c r="B54" s="357" t="s">
        <v>425</v>
      </c>
      <c r="C54" s="358"/>
      <c r="D54" s="358"/>
      <c r="E54" s="358"/>
      <c r="F54" s="358"/>
      <c r="G54" s="358"/>
      <c r="H54" s="358"/>
      <c r="I54" s="358"/>
      <c r="J54" s="358"/>
      <c r="K54" s="358"/>
      <c r="L54" s="359"/>
    </row>
    <row r="55" spans="2:12" x14ac:dyDescent="0.2">
      <c r="B55" s="338" t="s">
        <v>67</v>
      </c>
      <c r="C55" s="338"/>
      <c r="D55" s="21"/>
      <c r="E55" s="1"/>
      <c r="F55" s="42">
        <f>IF(INGRESOS!$A$7="CONTINUADA",INGRESOS!Q24,0)</f>
        <v>0</v>
      </c>
      <c r="G55" s="42">
        <f>IF(INGRESOS!$A$7="CONTINUADA",INGRESOS!R24,0)</f>
        <v>0</v>
      </c>
      <c r="H55" s="42">
        <f>IF(INGRESOS!$A$7="CONTINUADA",INGRESOS!S24,0)</f>
        <v>0</v>
      </c>
      <c r="I55" s="42">
        <f>IF(INGRESOS!$A$7="CONTINUADA",INGRESOS!T24,0)</f>
        <v>0</v>
      </c>
      <c r="J55" s="42">
        <f>IF(INGRESOS!$A$7="CONTINUADA",INGRESOS!U24,0)</f>
        <v>0</v>
      </c>
      <c r="K55" s="42">
        <f>IF(INGRESOS!$A$7="CONTINUADA",INGRESOS!V24,0)</f>
        <v>0</v>
      </c>
      <c r="L55" s="42">
        <f>IF(INGRESOS!$A$7="CONTINUADA",INGRESOS!W24,0)</f>
        <v>0</v>
      </c>
    </row>
    <row r="56" spans="2:12" x14ac:dyDescent="0.2">
      <c r="B56" s="338" t="s">
        <v>68</v>
      </c>
      <c r="C56" s="338"/>
      <c r="D56" s="21"/>
      <c r="E56" s="1"/>
      <c r="F56" s="42">
        <f>IF(INGRESOS!$A$7="CONTINUADA",INGRESOS!Q25,0)</f>
        <v>0</v>
      </c>
      <c r="G56" s="42">
        <f>IF(INGRESOS!$A$7="CONTINUADA",INGRESOS!R25,0)</f>
        <v>0</v>
      </c>
      <c r="H56" s="42">
        <f>IF(INGRESOS!$A$7="CONTINUADA",INGRESOS!S25,0)</f>
        <v>0</v>
      </c>
      <c r="I56" s="42">
        <f>IF(INGRESOS!$A$7="CONTINUADA",INGRESOS!T25,0)</f>
        <v>0</v>
      </c>
      <c r="J56" s="42">
        <f>IF(INGRESOS!$A$7="CONTINUADA",INGRESOS!U25,0)</f>
        <v>0</v>
      </c>
      <c r="K56" s="42">
        <f>IF(INGRESOS!$A$7="CONTINUADA",INGRESOS!V25,0)</f>
        <v>0</v>
      </c>
      <c r="L56" s="42">
        <f>IF(INGRESOS!$A$7="CONTINUADA",INGRESOS!W25,0)</f>
        <v>0</v>
      </c>
    </row>
    <row r="57" spans="2:12" x14ac:dyDescent="0.2">
      <c r="B57" s="338" t="s">
        <v>69</v>
      </c>
      <c r="C57" s="338"/>
      <c r="D57" s="21"/>
      <c r="E57" s="1"/>
      <c r="F57" s="42">
        <f>IF(INGRESOS!$A$7="CONTINUADA",INGRESOS!Q26,0)</f>
        <v>0</v>
      </c>
      <c r="G57" s="42">
        <f>IF(INGRESOS!$A$7="CONTINUADA",INGRESOS!R26,0)</f>
        <v>0</v>
      </c>
      <c r="H57" s="42">
        <f>IF(INGRESOS!$A$7="CONTINUADA",INGRESOS!S26,0)</f>
        <v>0</v>
      </c>
      <c r="I57" s="42">
        <f>IF(INGRESOS!$A$7="CONTINUADA",INGRESOS!T26,0)</f>
        <v>0</v>
      </c>
      <c r="J57" s="42">
        <f>IF(INGRESOS!$A$7="CONTINUADA",INGRESOS!U26,0)</f>
        <v>0</v>
      </c>
      <c r="K57" s="42">
        <f>IF(INGRESOS!$A$7="CONTINUADA",INGRESOS!V26,0)</f>
        <v>0</v>
      </c>
      <c r="L57" s="42">
        <f>IF(INGRESOS!$A$7="CONTINUADA",INGRESOS!W26,0)</f>
        <v>0</v>
      </c>
    </row>
    <row r="58" spans="2:12" x14ac:dyDescent="0.2">
      <c r="B58" s="338" t="s">
        <v>70</v>
      </c>
      <c r="C58" s="338"/>
      <c r="D58" s="21"/>
      <c r="E58" s="1"/>
      <c r="F58" s="42">
        <f>IF(INGRESOS!$A$7="CONTINUADA",INGRESOS!Q27,0)</f>
        <v>0</v>
      </c>
      <c r="G58" s="42">
        <f>IF(INGRESOS!$A$7="CONTINUADA",INGRESOS!R27,0)</f>
        <v>0</v>
      </c>
      <c r="H58" s="42">
        <f>IF(INGRESOS!$A$7="CONTINUADA",INGRESOS!S27,0)</f>
        <v>0</v>
      </c>
      <c r="I58" s="42">
        <f>IF(INGRESOS!$A$7="CONTINUADA",INGRESOS!T27,0)</f>
        <v>0</v>
      </c>
      <c r="J58" s="42">
        <f>IF(INGRESOS!$A$7="CONTINUADA",INGRESOS!U27,0)</f>
        <v>0</v>
      </c>
      <c r="K58" s="42">
        <f>IF(INGRESOS!$A$7="CONTINUADA",INGRESOS!V27,0)</f>
        <v>0</v>
      </c>
      <c r="L58" s="42">
        <f>IF(INGRESOS!$A$7="CONTINUADA",INGRESOS!W27,0)</f>
        <v>0</v>
      </c>
    </row>
    <row r="59" spans="2:12" x14ac:dyDescent="0.2">
      <c r="B59" s="338" t="s">
        <v>90</v>
      </c>
      <c r="C59" s="338"/>
      <c r="D59" s="21">
        <v>0</v>
      </c>
      <c r="E59" s="1"/>
      <c r="F59" s="42">
        <f>-(F$55+F$56+F$57+F$58)*$D59</f>
        <v>0</v>
      </c>
      <c r="G59" s="42">
        <f t="shared" ref="G59:L60" si="7">-(G$55+G$56+G$57+G$58)*$D59</f>
        <v>0</v>
      </c>
      <c r="H59" s="42">
        <f t="shared" si="7"/>
        <v>0</v>
      </c>
      <c r="I59" s="42">
        <f t="shared" si="7"/>
        <v>0</v>
      </c>
      <c r="J59" s="42">
        <f t="shared" si="7"/>
        <v>0</v>
      </c>
      <c r="K59" s="42">
        <f t="shared" si="7"/>
        <v>0</v>
      </c>
      <c r="L59" s="42">
        <f t="shared" si="7"/>
        <v>0</v>
      </c>
    </row>
    <row r="60" spans="2:12" x14ac:dyDescent="0.2">
      <c r="B60" s="338" t="s">
        <v>91</v>
      </c>
      <c r="C60" s="338"/>
      <c r="D60" s="21">
        <v>0.1</v>
      </c>
      <c r="E60" s="1"/>
      <c r="F60" s="42">
        <f>-(F$55+F$56+F$57+F$58)*$D60</f>
        <v>0</v>
      </c>
      <c r="G60" s="42">
        <f t="shared" si="7"/>
        <v>0</v>
      </c>
      <c r="H60" s="42">
        <f t="shared" si="7"/>
        <v>0</v>
      </c>
      <c r="I60" s="42">
        <f t="shared" si="7"/>
        <v>0</v>
      </c>
      <c r="J60" s="42">
        <f t="shared" si="7"/>
        <v>0</v>
      </c>
      <c r="K60" s="42">
        <f t="shared" si="7"/>
        <v>0</v>
      </c>
      <c r="L60" s="42">
        <f t="shared" si="7"/>
        <v>0</v>
      </c>
    </row>
    <row r="61" spans="2:12" x14ac:dyDescent="0.2">
      <c r="B61" s="338" t="s">
        <v>92</v>
      </c>
      <c r="C61" s="338"/>
      <c r="D61" s="22" t="s">
        <v>162</v>
      </c>
      <c r="E61" s="26">
        <f>-IF(SUM(F55:J58)&gt;0,SUM(F61:J61)/SUM(F55:J58),0)</f>
        <v>0</v>
      </c>
      <c r="F61" s="42">
        <f>-IF(INGRESOS!$A$7="CONTINUADA",INGRESOS!Q75,0)</f>
        <v>0</v>
      </c>
      <c r="G61" s="42">
        <f>-IF(INGRESOS!$A$7="CONTINUADA",INGRESOS!R75,0)</f>
        <v>0</v>
      </c>
      <c r="H61" s="42">
        <f>-IF(INGRESOS!$A$7="CONTINUADA",INGRESOS!S75,0)</f>
        <v>0</v>
      </c>
      <c r="I61" s="42">
        <f>-IF(INGRESOS!$A$7="CONTINUADA",INGRESOS!T75,0)</f>
        <v>0</v>
      </c>
      <c r="J61" s="42">
        <f>-IF(INGRESOS!$A$7="CONTINUADA",INGRESOS!U75,0)</f>
        <v>0</v>
      </c>
      <c r="K61" s="42">
        <f>-IF(INGRESOS!$A$7="CONTINUADA",INGRESOS!V75,0)</f>
        <v>0</v>
      </c>
      <c r="L61" s="42">
        <f>-IF(INGRESOS!$A$7="CONTINUADA",INGRESOS!W75,0)</f>
        <v>0</v>
      </c>
    </row>
    <row r="62" spans="2:12" x14ac:dyDescent="0.2">
      <c r="B62" s="357" t="s">
        <v>426</v>
      </c>
      <c r="C62" s="358"/>
      <c r="D62" s="358"/>
      <c r="E62" s="358"/>
      <c r="F62" s="358"/>
      <c r="G62" s="358"/>
      <c r="H62" s="358"/>
      <c r="I62" s="358"/>
      <c r="J62" s="358"/>
      <c r="K62" s="358"/>
      <c r="L62" s="359"/>
    </row>
    <row r="63" spans="2:12" x14ac:dyDescent="0.2">
      <c r="B63" s="338" t="s">
        <v>9</v>
      </c>
      <c r="C63" s="338"/>
      <c r="D63" s="21"/>
      <c r="E63" s="1"/>
      <c r="F63" s="42">
        <f>INGRESOS!Q82</f>
        <v>0</v>
      </c>
      <c r="G63" s="42">
        <f>INGRESOS!R82</f>
        <v>0</v>
      </c>
      <c r="H63" s="42">
        <f>INGRESOS!S82</f>
        <v>0</v>
      </c>
      <c r="I63" s="42">
        <f>INGRESOS!T82</f>
        <v>0</v>
      </c>
      <c r="J63" s="42">
        <f>INGRESOS!U82</f>
        <v>0</v>
      </c>
      <c r="K63" s="42">
        <f>INGRESOS!V82</f>
        <v>0</v>
      </c>
      <c r="L63" s="42">
        <f>INGRESOS!W82</f>
        <v>0</v>
      </c>
    </row>
    <row r="64" spans="2:12" x14ac:dyDescent="0.2">
      <c r="B64" s="338" t="s">
        <v>103</v>
      </c>
      <c r="C64" s="338"/>
      <c r="D64" s="21"/>
      <c r="E64" s="1"/>
      <c r="F64" s="42">
        <f>INGRESOS!Q83</f>
        <v>0</v>
      </c>
      <c r="G64" s="42">
        <f>INGRESOS!R83</f>
        <v>0</v>
      </c>
      <c r="H64" s="42">
        <f>INGRESOS!S83</f>
        <v>0</v>
      </c>
      <c r="I64" s="42">
        <f>INGRESOS!T83</f>
        <v>0</v>
      </c>
      <c r="J64" s="42">
        <f>INGRESOS!U83</f>
        <v>0</v>
      </c>
      <c r="K64" s="42">
        <f>INGRESOS!V83</f>
        <v>0</v>
      </c>
      <c r="L64" s="42">
        <f>INGRESOS!W83</f>
        <v>0</v>
      </c>
    </row>
    <row r="65" spans="2:14" x14ac:dyDescent="0.2">
      <c r="B65" s="357" t="s">
        <v>427</v>
      </c>
      <c r="C65" s="358"/>
      <c r="D65" s="358"/>
      <c r="E65" s="358"/>
      <c r="F65" s="358"/>
      <c r="G65" s="358"/>
      <c r="H65" s="358"/>
      <c r="I65" s="358"/>
      <c r="J65" s="358"/>
      <c r="K65" s="358"/>
      <c r="L65" s="359"/>
    </row>
    <row r="66" spans="2:14" x14ac:dyDescent="0.2">
      <c r="B66" s="338" t="s">
        <v>97</v>
      </c>
      <c r="C66" s="338"/>
      <c r="D66" s="21"/>
      <c r="E66" s="1"/>
      <c r="F66" s="42">
        <f>INGRESOS!Q90</f>
        <v>0</v>
      </c>
      <c r="G66" s="42">
        <f>INGRESOS!R90</f>
        <v>0</v>
      </c>
      <c r="H66" s="42">
        <f>INGRESOS!S90</f>
        <v>0</v>
      </c>
      <c r="I66" s="42">
        <f>INGRESOS!T90</f>
        <v>0</v>
      </c>
      <c r="J66" s="42">
        <f>INGRESOS!U90</f>
        <v>0</v>
      </c>
      <c r="K66" s="42">
        <f>INGRESOS!V90</f>
        <v>0</v>
      </c>
      <c r="L66" s="42">
        <f>INGRESOS!W90</f>
        <v>0</v>
      </c>
    </row>
    <row r="67" spans="2:14" x14ac:dyDescent="0.2">
      <c r="B67" s="338" t="s">
        <v>98</v>
      </c>
      <c r="C67" s="338"/>
      <c r="D67" s="21"/>
      <c r="E67" s="1"/>
      <c r="F67" s="42">
        <f>INGRESOS!Q91</f>
        <v>0</v>
      </c>
      <c r="G67" s="42">
        <f>INGRESOS!R91</f>
        <v>0</v>
      </c>
      <c r="H67" s="42">
        <f>INGRESOS!S91</f>
        <v>0</v>
      </c>
      <c r="I67" s="42">
        <f>INGRESOS!T91</f>
        <v>0</v>
      </c>
      <c r="J67" s="42">
        <f>INGRESOS!U91</f>
        <v>0</v>
      </c>
      <c r="K67" s="42">
        <f>INGRESOS!V91</f>
        <v>0</v>
      </c>
      <c r="L67" s="42">
        <f>INGRESOS!W91</f>
        <v>0</v>
      </c>
    </row>
    <row r="68" spans="2:14" x14ac:dyDescent="0.2">
      <c r="B68" s="338" t="s">
        <v>94</v>
      </c>
      <c r="C68" s="338"/>
      <c r="D68" s="21"/>
      <c r="E68" s="1"/>
      <c r="F68" s="42">
        <f>INGRESOS!Q92</f>
        <v>0</v>
      </c>
      <c r="G68" s="42">
        <f>INGRESOS!R92</f>
        <v>0</v>
      </c>
      <c r="H68" s="42">
        <f>INGRESOS!S92</f>
        <v>0</v>
      </c>
      <c r="I68" s="42">
        <f>INGRESOS!T92</f>
        <v>0</v>
      </c>
      <c r="J68" s="42">
        <f>INGRESOS!U92</f>
        <v>0</v>
      </c>
      <c r="K68" s="42">
        <f>INGRESOS!V92</f>
        <v>0</v>
      </c>
      <c r="L68" s="42">
        <f>INGRESOS!W92</f>
        <v>0</v>
      </c>
    </row>
    <row r="69" spans="2:14" x14ac:dyDescent="0.2">
      <c r="B69" s="338" t="s">
        <v>96</v>
      </c>
      <c r="C69" s="338"/>
      <c r="D69" s="21"/>
      <c r="E69" s="1"/>
      <c r="F69" s="42">
        <f>INGRESOS!Q93</f>
        <v>0</v>
      </c>
      <c r="G69" s="42">
        <f>INGRESOS!R93</f>
        <v>0</v>
      </c>
      <c r="H69" s="42">
        <f>INGRESOS!S93</f>
        <v>0</v>
      </c>
      <c r="I69" s="42">
        <f>INGRESOS!T93</f>
        <v>0</v>
      </c>
      <c r="J69" s="42">
        <f>INGRESOS!U93</f>
        <v>0</v>
      </c>
      <c r="K69" s="42">
        <f>INGRESOS!V93</f>
        <v>0</v>
      </c>
      <c r="L69" s="42">
        <f>INGRESOS!W93</f>
        <v>0</v>
      </c>
    </row>
    <row r="70" spans="2:14" x14ac:dyDescent="0.2">
      <c r="B70" s="338" t="s">
        <v>95</v>
      </c>
      <c r="C70" s="338"/>
      <c r="D70" s="21"/>
      <c r="E70" s="1"/>
      <c r="F70" s="42">
        <f>INGRESOS!Q94</f>
        <v>0</v>
      </c>
      <c r="G70" s="42">
        <f>INGRESOS!R94</f>
        <v>0</v>
      </c>
      <c r="H70" s="42">
        <f>INGRESOS!S94</f>
        <v>0</v>
      </c>
      <c r="I70" s="42">
        <f>INGRESOS!T94</f>
        <v>0</v>
      </c>
      <c r="J70" s="42">
        <f>INGRESOS!U94</f>
        <v>0</v>
      </c>
      <c r="K70" s="42">
        <f>INGRESOS!V94</f>
        <v>0</v>
      </c>
      <c r="L70" s="42">
        <f>INGRESOS!W94</f>
        <v>0</v>
      </c>
    </row>
    <row r="71" spans="2:14" x14ac:dyDescent="0.2">
      <c r="B71" s="338" t="s">
        <v>93</v>
      </c>
      <c r="C71" s="338"/>
      <c r="D71" s="21"/>
      <c r="E71" s="1"/>
      <c r="F71" s="42">
        <f>INGRESOS!Q95</f>
        <v>0</v>
      </c>
      <c r="G71" s="42">
        <f>INGRESOS!R95</f>
        <v>0</v>
      </c>
      <c r="H71" s="42">
        <f>INGRESOS!S95</f>
        <v>0</v>
      </c>
      <c r="I71" s="42">
        <f>INGRESOS!T95</f>
        <v>0</v>
      </c>
      <c r="J71" s="42">
        <f>INGRESOS!U95</f>
        <v>0</v>
      </c>
      <c r="K71" s="42">
        <f>INGRESOS!V95</f>
        <v>0</v>
      </c>
      <c r="L71" s="42">
        <f>INGRESOS!W95</f>
        <v>0</v>
      </c>
    </row>
    <row r="72" spans="2:14" s="61" customFormat="1" x14ac:dyDescent="0.2"/>
    <row r="73" spans="2:14" ht="15.75" x14ac:dyDescent="0.2">
      <c r="B73" s="360" t="s">
        <v>429</v>
      </c>
      <c r="C73" s="360"/>
      <c r="D73" s="360"/>
      <c r="E73" s="360"/>
      <c r="F73" s="46">
        <f t="shared" ref="F73:L73" si="8">SUM(F15:F71)</f>
        <v>0</v>
      </c>
      <c r="G73" s="46">
        <f t="shared" si="8"/>
        <v>0</v>
      </c>
      <c r="H73" s="46">
        <f t="shared" si="8"/>
        <v>0</v>
      </c>
      <c r="I73" s="46">
        <f t="shared" si="8"/>
        <v>0</v>
      </c>
      <c r="J73" s="46">
        <f t="shared" si="8"/>
        <v>0</v>
      </c>
      <c r="K73" s="46">
        <f t="shared" si="8"/>
        <v>0</v>
      </c>
      <c r="L73" s="46">
        <f t="shared" si="8"/>
        <v>0</v>
      </c>
      <c r="N73" s="58"/>
    </row>
    <row r="74" spans="2:14" s="61" customFormat="1" ht="15" x14ac:dyDescent="0.25">
      <c r="K74" s="47" t="s">
        <v>428</v>
      </c>
      <c r="L74" s="65">
        <f>SUM(F73:L73)</f>
        <v>0</v>
      </c>
    </row>
    <row r="75" spans="2:14" x14ac:dyDescent="0.2">
      <c r="B75" s="61"/>
      <c r="C75" s="61"/>
      <c r="D75" s="61"/>
      <c r="E75" s="44"/>
      <c r="F75" s="44"/>
      <c r="L75" s="61"/>
    </row>
    <row r="76" spans="2:14" x14ac:dyDescent="0.2">
      <c r="B76" s="61"/>
      <c r="C76" s="61"/>
      <c r="D76" s="61"/>
      <c r="F76" s="45" t="s">
        <v>281</v>
      </c>
      <c r="G76" s="304">
        <f>IF(INGRESOS!$J$10=INGRESOS!$AA$8,IF(INGRESOS!$J$30&gt;0,IF(INGRESOS!$J$30=1,0.5,1),0),1)</f>
        <v>1</v>
      </c>
      <c r="H76" s="305">
        <f>IF(INGRESOS!$J$10=INGRESOS!$AA$8,IF(INGRESOS!$J$30&gt;2,IF(INGRESOS!$J$30=3,0.5,1),0),1)</f>
        <v>1</v>
      </c>
      <c r="I76" s="305">
        <f>IF(INGRESOS!$J$10=INGRESOS!$AA$8,IF(INGRESOS!$J$30&gt;4,IF(INGRESOS!$J$30=5,0.5,1),0),1)</f>
        <v>1</v>
      </c>
      <c r="J76" s="305">
        <f>IF(INGRESOS!$J$10=INGRESOS!$AA$8,IF(INGRESOS!$J$30&gt;6,IF(INGRESOS!$J$30=7,0.5,1),0),1)</f>
        <v>1</v>
      </c>
      <c r="K76" s="305">
        <f>IF(INGRESOS!$J$10=INGRESOS!$AA$8,IF(INGRESOS!$J$30&gt;8,IF(INGRESOS!$J$30=9,0.5,1),0),1)</f>
        <v>1</v>
      </c>
      <c r="L76" s="305">
        <f>IF(INGRESOS!$J$10=INGRESOS!$AA$8,IF(INGRESOS!$J$30&gt;10,IF(INGRESOS!$J$30=11,0.5,1),0),1)</f>
        <v>1</v>
      </c>
    </row>
    <row r="77" spans="2:14" x14ac:dyDescent="0.2">
      <c r="B77" s="61"/>
      <c r="C77" s="61"/>
      <c r="D77" s="61"/>
      <c r="F77" s="45" t="s">
        <v>282</v>
      </c>
      <c r="G77" s="306">
        <v>0.05</v>
      </c>
      <c r="H77" s="306">
        <v>0.05</v>
      </c>
      <c r="I77" s="306">
        <v>0.05</v>
      </c>
      <c r="J77" s="306">
        <v>0.05</v>
      </c>
      <c r="K77" s="306">
        <v>0.05</v>
      </c>
      <c r="L77" s="306">
        <v>0.05</v>
      </c>
    </row>
    <row r="78" spans="2:14" s="61" customFormat="1" x14ac:dyDescent="0.2"/>
    <row r="79" spans="2:14" ht="15.75" x14ac:dyDescent="0.2">
      <c r="B79" s="346" t="s">
        <v>10</v>
      </c>
      <c r="C79" s="346"/>
      <c r="D79" s="346"/>
      <c r="E79" s="346"/>
      <c r="F79" s="346"/>
      <c r="G79" s="346"/>
      <c r="H79" s="346"/>
      <c r="I79" s="346"/>
      <c r="J79" s="346"/>
      <c r="K79" s="346"/>
      <c r="L79" s="346"/>
    </row>
    <row r="80" spans="2:14" s="61" customFormat="1" x14ac:dyDescent="0.2"/>
    <row r="81" spans="2:12" x14ac:dyDescent="0.2">
      <c r="B81" s="354" t="s">
        <v>431</v>
      </c>
      <c r="C81" s="355"/>
      <c r="D81" s="355"/>
      <c r="E81" s="355"/>
      <c r="F81" s="355"/>
      <c r="G81" s="355"/>
      <c r="H81" s="355"/>
      <c r="I81" s="355"/>
      <c r="J81" s="355"/>
      <c r="K81" s="355"/>
      <c r="L81" s="356"/>
    </row>
    <row r="82" spans="2:12" x14ac:dyDescent="0.2">
      <c r="B82" s="338" t="s">
        <v>104</v>
      </c>
      <c r="C82" s="338"/>
      <c r="D82" s="19"/>
      <c r="E82" s="48"/>
      <c r="F82" s="42">
        <f>'COSTOS Y GASTOS'!E13</f>
        <v>0</v>
      </c>
      <c r="G82" s="42">
        <f t="shared" ref="G82:L82" si="9">+F82*(1+G$77)*G$76</f>
        <v>0</v>
      </c>
      <c r="H82" s="42">
        <f t="shared" si="9"/>
        <v>0</v>
      </c>
      <c r="I82" s="42">
        <f t="shared" si="9"/>
        <v>0</v>
      </c>
      <c r="J82" s="42">
        <f t="shared" si="9"/>
        <v>0</v>
      </c>
      <c r="K82" s="42">
        <f t="shared" si="9"/>
        <v>0</v>
      </c>
      <c r="L82" s="42">
        <f t="shared" si="9"/>
        <v>0</v>
      </c>
    </row>
    <row r="83" spans="2:12" x14ac:dyDescent="0.2">
      <c r="B83" s="338" t="s">
        <v>110</v>
      </c>
      <c r="C83" s="338"/>
      <c r="D83" s="19"/>
      <c r="E83" s="48"/>
      <c r="F83" s="42">
        <f>'COSTOS Y GASTOS'!F13</f>
        <v>0</v>
      </c>
      <c r="G83" s="42">
        <f t="shared" ref="G83:I84" si="10">+F83*(1+G$77)*G$76</f>
        <v>0</v>
      </c>
      <c r="H83" s="42">
        <f t="shared" si="10"/>
        <v>0</v>
      </c>
      <c r="I83" s="42">
        <f t="shared" si="10"/>
        <v>0</v>
      </c>
      <c r="J83" s="42">
        <f t="shared" ref="J83:L84" si="11">+I83*(1+J$77)*J$76</f>
        <v>0</v>
      </c>
      <c r="K83" s="42">
        <f t="shared" si="11"/>
        <v>0</v>
      </c>
      <c r="L83" s="42">
        <f t="shared" si="11"/>
        <v>0</v>
      </c>
    </row>
    <row r="84" spans="2:12" x14ac:dyDescent="0.2">
      <c r="B84" s="338" t="s">
        <v>109</v>
      </c>
      <c r="C84" s="338"/>
      <c r="D84" s="19"/>
      <c r="E84" s="48"/>
      <c r="F84" s="42">
        <f>'COSTOS Y GASTOS'!D21</f>
        <v>0</v>
      </c>
      <c r="G84" s="42">
        <f t="shared" si="10"/>
        <v>0</v>
      </c>
      <c r="H84" s="42">
        <f>+G84*(1+H$77)*H$76</f>
        <v>0</v>
      </c>
      <c r="I84" s="42">
        <f t="shared" si="10"/>
        <v>0</v>
      </c>
      <c r="J84" s="42">
        <f t="shared" si="11"/>
        <v>0</v>
      </c>
      <c r="K84" s="42">
        <f t="shared" si="11"/>
        <v>0</v>
      </c>
      <c r="L84" s="42">
        <f t="shared" si="11"/>
        <v>0</v>
      </c>
    </row>
    <row r="85" spans="2:12" x14ac:dyDescent="0.2">
      <c r="B85" s="354" t="s">
        <v>430</v>
      </c>
      <c r="C85" s="355"/>
      <c r="D85" s="355"/>
      <c r="E85" s="355"/>
      <c r="F85" s="355"/>
      <c r="G85" s="355"/>
      <c r="H85" s="355"/>
      <c r="I85" s="355"/>
      <c r="J85" s="355"/>
      <c r="K85" s="355"/>
      <c r="L85" s="356"/>
    </row>
    <row r="86" spans="2:12" x14ac:dyDescent="0.2">
      <c r="B86" s="338" t="s">
        <v>105</v>
      </c>
      <c r="C86" s="338"/>
      <c r="D86" s="19"/>
      <c r="E86" s="48"/>
      <c r="F86" s="42">
        <f>'DOCENTE CONTRATO ESPECIAL'!$E10</f>
        <v>0</v>
      </c>
      <c r="G86" s="42">
        <f>'DOCENTE CONTRATO ESPECIAL'!$E11</f>
        <v>0</v>
      </c>
      <c r="H86" s="42">
        <f>'DOCENTE CONTRATO ESPECIAL'!$E12</f>
        <v>0</v>
      </c>
      <c r="I86" s="42">
        <f>'DOCENTE CONTRATO ESPECIAL'!$E13</f>
        <v>0</v>
      </c>
      <c r="J86" s="42">
        <f>'DOCENTE CONTRATO ESPECIAL'!$E14</f>
        <v>0</v>
      </c>
      <c r="K86" s="42">
        <f>'DOCENTE CONTRATO ESPECIAL'!$E15</f>
        <v>0</v>
      </c>
      <c r="L86" s="42">
        <f>'DOCENTE CONTRATO ESPECIAL'!$E16</f>
        <v>0</v>
      </c>
    </row>
    <row r="87" spans="2:12" x14ac:dyDescent="0.2">
      <c r="B87" s="338" t="s">
        <v>111</v>
      </c>
      <c r="C87" s="338"/>
      <c r="D87" s="19"/>
      <c r="E87" s="48"/>
      <c r="F87" s="50">
        <f>'DOCENTE CONTRATO ESPECIAL'!$E20</f>
        <v>0</v>
      </c>
      <c r="G87" s="50">
        <f>'DOCENTE CONTRATO ESPECIAL'!$E21</f>
        <v>0</v>
      </c>
      <c r="H87" s="50">
        <f>'DOCENTE CONTRATO ESPECIAL'!$E22</f>
        <v>0</v>
      </c>
      <c r="I87" s="50">
        <f>'DOCENTE CONTRATO ESPECIAL'!$E23</f>
        <v>0</v>
      </c>
      <c r="J87" s="50">
        <f>'DOCENTE CONTRATO ESPECIAL'!$E24</f>
        <v>0</v>
      </c>
      <c r="K87" s="50">
        <f>'DOCENTE CONTRATO ESPECIAL'!$E25</f>
        <v>0</v>
      </c>
      <c r="L87" s="50">
        <f>'DOCENTE CONTRATO ESPECIAL'!$E26</f>
        <v>0</v>
      </c>
    </row>
    <row r="88" spans="2:12" x14ac:dyDescent="0.2">
      <c r="B88" s="338" t="s">
        <v>106</v>
      </c>
      <c r="C88" s="338"/>
      <c r="D88" s="19"/>
      <c r="E88" s="48"/>
      <c r="F88" s="42">
        <f>'DOCENTE CONTRATO ESPECIAL'!$E30</f>
        <v>0</v>
      </c>
      <c r="G88" s="42">
        <f>'DOCENTE CONTRATO ESPECIAL'!$E31</f>
        <v>0</v>
      </c>
      <c r="H88" s="42">
        <f>'DOCENTE CONTRATO ESPECIAL'!$E32</f>
        <v>0</v>
      </c>
      <c r="I88" s="42">
        <f>'DOCENTE CONTRATO ESPECIAL'!$E33</f>
        <v>0</v>
      </c>
      <c r="J88" s="42">
        <f>'DOCENTE CONTRATO ESPECIAL'!$E34</f>
        <v>0</v>
      </c>
      <c r="K88" s="42">
        <f>'DOCENTE CONTRATO ESPECIAL'!$E34</f>
        <v>0</v>
      </c>
      <c r="L88" s="42">
        <f>'DOCENTE CONTRATO ESPECIAL'!$E34</f>
        <v>0</v>
      </c>
    </row>
    <row r="89" spans="2:12" x14ac:dyDescent="0.2">
      <c r="B89" s="338" t="s">
        <v>107</v>
      </c>
      <c r="C89" s="338"/>
      <c r="D89" s="19"/>
      <c r="E89" s="48"/>
      <c r="F89" s="42">
        <f>'DOCENTE CONTRATO ESPECIAL'!$E40</f>
        <v>0</v>
      </c>
      <c r="G89" s="42">
        <f>'DOCENTE CONTRATO ESPECIAL'!$E41</f>
        <v>0</v>
      </c>
      <c r="H89" s="42">
        <f>'DOCENTE CONTRATO ESPECIAL'!$E42</f>
        <v>0</v>
      </c>
      <c r="I89" s="42">
        <f>'DOCENTE CONTRATO ESPECIAL'!$E43</f>
        <v>0</v>
      </c>
      <c r="J89" s="42">
        <f>'DOCENTE CONTRATO ESPECIAL'!$E44</f>
        <v>0</v>
      </c>
      <c r="K89" s="42">
        <f>'DOCENTE CONTRATO ESPECIAL'!$E44</f>
        <v>0</v>
      </c>
      <c r="L89" s="42">
        <f>'DOCENTE CONTRATO ESPECIAL'!$E44</f>
        <v>0</v>
      </c>
    </row>
    <row r="90" spans="2:12" x14ac:dyDescent="0.2">
      <c r="B90" s="338" t="s">
        <v>108</v>
      </c>
      <c r="C90" s="338"/>
      <c r="D90" s="19"/>
      <c r="E90" s="48"/>
      <c r="F90" s="42">
        <f>IF(INGRESOS!$A$7="POSTGRADO",0,'COSTOS Y GASTOS'!$E34)</f>
        <v>0</v>
      </c>
      <c r="G90" s="42">
        <f>IF(INGRESOS!$A$7="POSTGRADO",0,'COSTOS Y GASTOS'!$E35)</f>
        <v>0</v>
      </c>
      <c r="H90" s="42">
        <f>IF(INGRESOS!$A$7="POSTGRADO",0,'COSTOS Y GASTOS'!$E36)</f>
        <v>0</v>
      </c>
      <c r="I90" s="42">
        <f>IF(INGRESOS!$A$7="POSTGRADO",0,'COSTOS Y GASTOS'!$E37)</f>
        <v>0</v>
      </c>
      <c r="J90" s="42">
        <f>IF(INGRESOS!$A$7="POSTGRADO",0,'COSTOS Y GASTOS'!$E38)</f>
        <v>0</v>
      </c>
      <c r="K90" s="42">
        <f>IF(INGRESOS!$A$7="POSTGRADO",0,'COSTOS Y GASTOS'!$E39)</f>
        <v>0</v>
      </c>
      <c r="L90" s="42">
        <f>IF(INGRESOS!$A$7="POSTGRADO",0,'COSTOS Y GASTOS'!$E40)</f>
        <v>0</v>
      </c>
    </row>
    <row r="91" spans="2:12" x14ac:dyDescent="0.2">
      <c r="B91" s="338" t="s">
        <v>291</v>
      </c>
      <c r="C91" s="338"/>
      <c r="D91" s="19"/>
      <c r="E91" s="49">
        <v>0.52</v>
      </c>
      <c r="F91" s="42">
        <f t="shared" ref="F91:L91" si="12">SUM(F86:F90)*$E91</f>
        <v>0</v>
      </c>
      <c r="G91" s="42">
        <f t="shared" si="12"/>
        <v>0</v>
      </c>
      <c r="H91" s="42">
        <f t="shared" si="12"/>
        <v>0</v>
      </c>
      <c r="I91" s="42">
        <f t="shared" si="12"/>
        <v>0</v>
      </c>
      <c r="J91" s="42">
        <f t="shared" si="12"/>
        <v>0</v>
      </c>
      <c r="K91" s="42">
        <f t="shared" si="12"/>
        <v>0</v>
      </c>
      <c r="L91" s="42">
        <f t="shared" si="12"/>
        <v>0</v>
      </c>
    </row>
    <row r="92" spans="2:12" x14ac:dyDescent="0.2">
      <c r="B92" s="338" t="s">
        <v>112</v>
      </c>
      <c r="C92" s="338"/>
      <c r="D92" s="19"/>
      <c r="E92" s="48"/>
      <c r="F92" s="42">
        <f>'COSTOS Y GASTOS'!D29</f>
        <v>0</v>
      </c>
      <c r="G92" s="42">
        <f t="shared" ref="G92:L92" si="13">+F92*(1+G$77)*G$76</f>
        <v>0</v>
      </c>
      <c r="H92" s="42">
        <f t="shared" si="13"/>
        <v>0</v>
      </c>
      <c r="I92" s="42">
        <f t="shared" si="13"/>
        <v>0</v>
      </c>
      <c r="J92" s="42">
        <f t="shared" si="13"/>
        <v>0</v>
      </c>
      <c r="K92" s="42">
        <f t="shared" si="13"/>
        <v>0</v>
      </c>
      <c r="L92" s="42">
        <f t="shared" si="13"/>
        <v>0</v>
      </c>
    </row>
    <row r="93" spans="2:12" x14ac:dyDescent="0.2">
      <c r="B93" s="323" t="s">
        <v>435</v>
      </c>
      <c r="C93" s="324"/>
      <c r="D93" s="324"/>
      <c r="E93" s="325"/>
      <c r="F93" s="51">
        <f t="shared" ref="F93:L93" si="14">SUM(F82:F92)</f>
        <v>0</v>
      </c>
      <c r="G93" s="51">
        <f t="shared" si="14"/>
        <v>0</v>
      </c>
      <c r="H93" s="51">
        <f t="shared" si="14"/>
        <v>0</v>
      </c>
      <c r="I93" s="51">
        <f t="shared" si="14"/>
        <v>0</v>
      </c>
      <c r="J93" s="51">
        <f t="shared" si="14"/>
        <v>0</v>
      </c>
      <c r="K93" s="51">
        <f t="shared" si="14"/>
        <v>0</v>
      </c>
      <c r="L93" s="51">
        <f t="shared" si="14"/>
        <v>0</v>
      </c>
    </row>
    <row r="94" spans="2:12" x14ac:dyDescent="0.2">
      <c r="B94" s="365" t="s">
        <v>432</v>
      </c>
      <c r="C94" s="366"/>
      <c r="D94" s="366"/>
      <c r="E94" s="366"/>
      <c r="F94" s="366"/>
      <c r="G94" s="366"/>
      <c r="H94" s="366"/>
      <c r="I94" s="366"/>
      <c r="J94" s="366"/>
      <c r="K94" s="366"/>
      <c r="L94" s="367"/>
    </row>
    <row r="95" spans="2:12" x14ac:dyDescent="0.2">
      <c r="B95" s="369" t="s">
        <v>114</v>
      </c>
      <c r="C95" s="369"/>
      <c r="D95" s="19"/>
      <c r="E95" s="66"/>
      <c r="F95" s="42">
        <f>'COSTOS Y GASTOS'!E59</f>
        <v>0</v>
      </c>
      <c r="G95" s="42">
        <f t="shared" ref="G95:J96" si="15">+F95*(1+G$77)*G$76</f>
        <v>0</v>
      </c>
      <c r="H95" s="42">
        <f t="shared" si="15"/>
        <v>0</v>
      </c>
      <c r="I95" s="42">
        <f t="shared" si="15"/>
        <v>0</v>
      </c>
      <c r="J95" s="42">
        <f t="shared" si="15"/>
        <v>0</v>
      </c>
      <c r="K95" s="42">
        <f>+J95*(1+K$77)*K$76</f>
        <v>0</v>
      </c>
      <c r="L95" s="42">
        <f>+K95*(1+L$77)*L$76</f>
        <v>0</v>
      </c>
    </row>
    <row r="96" spans="2:12" x14ac:dyDescent="0.2">
      <c r="B96" s="369" t="s">
        <v>383</v>
      </c>
      <c r="C96" s="369"/>
      <c r="D96" s="19"/>
      <c r="E96" s="2"/>
      <c r="F96" s="52">
        <f>'COSTOS Y GASTOS'!E50</f>
        <v>0</v>
      </c>
      <c r="G96" s="42">
        <f t="shared" si="15"/>
        <v>0</v>
      </c>
      <c r="H96" s="42">
        <f t="shared" si="15"/>
        <v>0</v>
      </c>
      <c r="I96" s="42">
        <f t="shared" si="15"/>
        <v>0</v>
      </c>
      <c r="J96" s="42">
        <f t="shared" si="15"/>
        <v>0</v>
      </c>
      <c r="K96" s="42">
        <f>+J96*(1+K$77)*K$76</f>
        <v>0</v>
      </c>
      <c r="L96" s="42">
        <f>+K96*(1+L$77)*L$76</f>
        <v>0</v>
      </c>
    </row>
    <row r="97" spans="2:12" x14ac:dyDescent="0.2">
      <c r="B97" s="369" t="s">
        <v>113</v>
      </c>
      <c r="C97" s="369"/>
      <c r="D97" s="19"/>
      <c r="E97" s="2"/>
      <c r="F97" s="42">
        <f>IF(INGRESOS!$A$7="POSTGRADO",'COSTOS Y GASTOS'!$E34,0)</f>
        <v>0</v>
      </c>
      <c r="G97" s="42">
        <f>IF(INGRESOS!$A$7="POSTGRADO",'COSTOS Y GASTOS'!$E35,0)</f>
        <v>0</v>
      </c>
      <c r="H97" s="42">
        <f>IF(INGRESOS!$A$7="POSTGRADO",'COSTOS Y GASTOS'!$E36,0)</f>
        <v>0</v>
      </c>
      <c r="I97" s="42">
        <f>IF(INGRESOS!$A$7="POSTGRADO",'COSTOS Y GASTOS'!$E37,0)</f>
        <v>0</v>
      </c>
      <c r="J97" s="42">
        <f>IF(INGRESOS!$A$7="POSTGRADO",'COSTOS Y GASTOS'!$E38,0)</f>
        <v>0</v>
      </c>
      <c r="K97" s="42">
        <f>IF(INGRESOS!$A$7="POSTGRADO",'COSTOS Y GASTOS'!$E38,0)</f>
        <v>0</v>
      </c>
      <c r="L97" s="42">
        <f>IF(INGRESOS!$A$7="POSTGRADO",'COSTOS Y GASTOS'!$E38,0)</f>
        <v>0</v>
      </c>
    </row>
    <row r="98" spans="2:12" x14ac:dyDescent="0.2">
      <c r="B98" s="368" t="s">
        <v>435</v>
      </c>
      <c r="C98" s="368"/>
      <c r="D98" s="368"/>
      <c r="E98" s="368"/>
      <c r="F98" s="51">
        <f t="shared" ref="F98:L98" si="16">SUM(F95:F97)</f>
        <v>0</v>
      </c>
      <c r="G98" s="51">
        <f t="shared" si="16"/>
        <v>0</v>
      </c>
      <c r="H98" s="51">
        <f t="shared" si="16"/>
        <v>0</v>
      </c>
      <c r="I98" s="51">
        <f t="shared" si="16"/>
        <v>0</v>
      </c>
      <c r="J98" s="51">
        <f t="shared" si="16"/>
        <v>0</v>
      </c>
      <c r="K98" s="51">
        <f t="shared" si="16"/>
        <v>0</v>
      </c>
      <c r="L98" s="51">
        <f t="shared" si="16"/>
        <v>0</v>
      </c>
    </row>
    <row r="99" spans="2:12" x14ac:dyDescent="0.2">
      <c r="B99" s="350" t="s">
        <v>433</v>
      </c>
      <c r="C99" s="351"/>
      <c r="D99" s="351"/>
      <c r="E99" s="351"/>
      <c r="F99" s="351"/>
      <c r="G99" s="351"/>
      <c r="H99" s="351"/>
      <c r="I99" s="351"/>
      <c r="J99" s="351"/>
      <c r="K99" s="351"/>
      <c r="L99" s="352"/>
    </row>
    <row r="100" spans="2:12" x14ac:dyDescent="0.2">
      <c r="B100" s="338" t="s">
        <v>118</v>
      </c>
      <c r="C100" s="338"/>
      <c r="D100" s="19"/>
      <c r="E100" s="2"/>
      <c r="F100" s="52">
        <f>'COSTOS Y GASTOS'!F67</f>
        <v>0</v>
      </c>
      <c r="G100" s="42">
        <f t="shared" ref="G100:J103" si="17">+F100*(1+G$77)*G$76</f>
        <v>0</v>
      </c>
      <c r="H100" s="42">
        <f t="shared" si="17"/>
        <v>0</v>
      </c>
      <c r="I100" s="42">
        <f t="shared" si="17"/>
        <v>0</v>
      </c>
      <c r="J100" s="42">
        <f t="shared" si="17"/>
        <v>0</v>
      </c>
      <c r="K100" s="42">
        <f t="shared" ref="K100:L103" si="18">+J100*(1+K$77)*K$76</f>
        <v>0</v>
      </c>
      <c r="L100" s="42">
        <f t="shared" si="18"/>
        <v>0</v>
      </c>
    </row>
    <row r="101" spans="2:12" x14ac:dyDescent="0.2">
      <c r="B101" s="338" t="s">
        <v>117</v>
      </c>
      <c r="C101" s="338"/>
      <c r="D101" s="19"/>
      <c r="E101" s="2"/>
      <c r="F101" s="52">
        <f>'COSTOS Y GASTOS'!F85</f>
        <v>0</v>
      </c>
      <c r="G101" s="42">
        <f t="shared" si="17"/>
        <v>0</v>
      </c>
      <c r="H101" s="42">
        <f t="shared" si="17"/>
        <v>0</v>
      </c>
      <c r="I101" s="42">
        <f t="shared" si="17"/>
        <v>0</v>
      </c>
      <c r="J101" s="42">
        <f t="shared" si="17"/>
        <v>0</v>
      </c>
      <c r="K101" s="42">
        <f t="shared" si="18"/>
        <v>0</v>
      </c>
      <c r="L101" s="42">
        <f t="shared" si="18"/>
        <v>0</v>
      </c>
    </row>
    <row r="102" spans="2:12" x14ac:dyDescent="0.2">
      <c r="B102" s="338" t="s">
        <v>116</v>
      </c>
      <c r="C102" s="338"/>
      <c r="D102" s="19"/>
      <c r="E102" s="2"/>
      <c r="F102" s="52">
        <f>'COSTOS Y GASTOS'!F101</f>
        <v>0</v>
      </c>
      <c r="G102" s="42">
        <f t="shared" si="17"/>
        <v>0</v>
      </c>
      <c r="H102" s="42">
        <f t="shared" si="17"/>
        <v>0</v>
      </c>
      <c r="I102" s="42">
        <f t="shared" si="17"/>
        <v>0</v>
      </c>
      <c r="J102" s="42">
        <f t="shared" si="17"/>
        <v>0</v>
      </c>
      <c r="K102" s="42">
        <f t="shared" si="18"/>
        <v>0</v>
      </c>
      <c r="L102" s="42">
        <f t="shared" si="18"/>
        <v>0</v>
      </c>
    </row>
    <row r="103" spans="2:12" x14ac:dyDescent="0.2">
      <c r="B103" s="338" t="s">
        <v>115</v>
      </c>
      <c r="C103" s="338"/>
      <c r="D103" s="19"/>
      <c r="E103" s="2"/>
      <c r="F103" s="52">
        <f>'COSTOS Y GASTOS'!F117</f>
        <v>0</v>
      </c>
      <c r="G103" s="42">
        <f t="shared" si="17"/>
        <v>0</v>
      </c>
      <c r="H103" s="42">
        <f t="shared" si="17"/>
        <v>0</v>
      </c>
      <c r="I103" s="42">
        <f t="shared" si="17"/>
        <v>0</v>
      </c>
      <c r="J103" s="42">
        <f t="shared" si="17"/>
        <v>0</v>
      </c>
      <c r="K103" s="42">
        <f t="shared" si="18"/>
        <v>0</v>
      </c>
      <c r="L103" s="42">
        <f t="shared" si="18"/>
        <v>0</v>
      </c>
    </row>
    <row r="104" spans="2:12" x14ac:dyDescent="0.2">
      <c r="B104" s="349" t="s">
        <v>434</v>
      </c>
      <c r="C104" s="349"/>
      <c r="D104" s="349"/>
      <c r="E104" s="349"/>
      <c r="F104" s="349"/>
      <c r="G104" s="349"/>
      <c r="H104" s="349"/>
      <c r="I104" s="349"/>
      <c r="J104" s="349"/>
      <c r="K104" s="349"/>
      <c r="L104" s="349"/>
    </row>
    <row r="105" spans="2:12" x14ac:dyDescent="0.2">
      <c r="B105" s="338" t="s">
        <v>119</v>
      </c>
      <c r="C105" s="338"/>
      <c r="D105" s="19"/>
      <c r="E105" s="2"/>
      <c r="F105" s="52">
        <f>'COSTOS Y GASTOS'!F77</f>
        <v>0</v>
      </c>
      <c r="G105" s="42">
        <f t="shared" ref="G105:J108" si="19">+F105*(1+G$77)*G$76</f>
        <v>0</v>
      </c>
      <c r="H105" s="42">
        <f t="shared" si="19"/>
        <v>0</v>
      </c>
      <c r="I105" s="42">
        <f t="shared" si="19"/>
        <v>0</v>
      </c>
      <c r="J105" s="42">
        <f t="shared" si="19"/>
        <v>0</v>
      </c>
      <c r="K105" s="42">
        <f t="shared" ref="K105:L108" si="20">+J105*(1+K$77)*K$76</f>
        <v>0</v>
      </c>
      <c r="L105" s="42">
        <f t="shared" si="20"/>
        <v>0</v>
      </c>
    </row>
    <row r="106" spans="2:12" x14ac:dyDescent="0.2">
      <c r="B106" s="338" t="s">
        <v>120</v>
      </c>
      <c r="C106" s="338"/>
      <c r="D106" s="19"/>
      <c r="E106" s="2"/>
      <c r="F106" s="52">
        <f>'COSTOS Y GASTOS'!F93</f>
        <v>0</v>
      </c>
      <c r="G106" s="42">
        <f t="shared" si="19"/>
        <v>0</v>
      </c>
      <c r="H106" s="42">
        <f t="shared" si="19"/>
        <v>0</v>
      </c>
      <c r="I106" s="42">
        <f t="shared" si="19"/>
        <v>0</v>
      </c>
      <c r="J106" s="42">
        <f t="shared" si="19"/>
        <v>0</v>
      </c>
      <c r="K106" s="42">
        <f t="shared" si="20"/>
        <v>0</v>
      </c>
      <c r="L106" s="42">
        <f t="shared" si="20"/>
        <v>0</v>
      </c>
    </row>
    <row r="107" spans="2:12" x14ac:dyDescent="0.2">
      <c r="B107" s="338" t="s">
        <v>121</v>
      </c>
      <c r="C107" s="338"/>
      <c r="D107" s="19"/>
      <c r="E107" s="2"/>
      <c r="F107" s="52">
        <f>'COSTOS Y GASTOS'!F109</f>
        <v>0</v>
      </c>
      <c r="G107" s="42">
        <f t="shared" si="19"/>
        <v>0</v>
      </c>
      <c r="H107" s="42">
        <f t="shared" si="19"/>
        <v>0</v>
      </c>
      <c r="I107" s="42">
        <f t="shared" si="19"/>
        <v>0</v>
      </c>
      <c r="J107" s="42">
        <f t="shared" si="19"/>
        <v>0</v>
      </c>
      <c r="K107" s="42">
        <f t="shared" si="20"/>
        <v>0</v>
      </c>
      <c r="L107" s="42">
        <f t="shared" si="20"/>
        <v>0</v>
      </c>
    </row>
    <row r="108" spans="2:12" x14ac:dyDescent="0.2">
      <c r="B108" s="338" t="s">
        <v>122</v>
      </c>
      <c r="C108" s="338"/>
      <c r="D108" s="19"/>
      <c r="E108" s="2"/>
      <c r="F108" s="52">
        <f>'COSTOS Y GASTOS'!F124</f>
        <v>0</v>
      </c>
      <c r="G108" s="42">
        <f t="shared" si="19"/>
        <v>0</v>
      </c>
      <c r="H108" s="42">
        <f t="shared" si="19"/>
        <v>0</v>
      </c>
      <c r="I108" s="42">
        <f t="shared" si="19"/>
        <v>0</v>
      </c>
      <c r="J108" s="42">
        <f t="shared" si="19"/>
        <v>0</v>
      </c>
      <c r="K108" s="42">
        <f t="shared" si="20"/>
        <v>0</v>
      </c>
      <c r="L108" s="42">
        <f t="shared" si="20"/>
        <v>0</v>
      </c>
    </row>
    <row r="109" spans="2:12" x14ac:dyDescent="0.2">
      <c r="B109" s="368" t="s">
        <v>435</v>
      </c>
      <c r="C109" s="368"/>
      <c r="D109" s="368"/>
      <c r="E109" s="368"/>
      <c r="F109" s="51">
        <f t="shared" ref="F109:L109" si="21">SUM(F100:F108)</f>
        <v>0</v>
      </c>
      <c r="G109" s="51">
        <f t="shared" si="21"/>
        <v>0</v>
      </c>
      <c r="H109" s="51">
        <f t="shared" si="21"/>
        <v>0</v>
      </c>
      <c r="I109" s="51">
        <f t="shared" si="21"/>
        <v>0</v>
      </c>
      <c r="J109" s="51">
        <f t="shared" si="21"/>
        <v>0</v>
      </c>
      <c r="K109" s="51">
        <f t="shared" si="21"/>
        <v>0</v>
      </c>
      <c r="L109" s="51">
        <f t="shared" si="21"/>
        <v>0</v>
      </c>
    </row>
    <row r="110" spans="2:12" x14ac:dyDescent="0.2">
      <c r="B110" s="349" t="s">
        <v>438</v>
      </c>
      <c r="C110" s="349"/>
      <c r="D110" s="349"/>
      <c r="E110" s="349"/>
      <c r="F110" s="349"/>
      <c r="G110" s="349"/>
      <c r="H110" s="349"/>
      <c r="I110" s="349"/>
      <c r="J110" s="349"/>
      <c r="K110" s="349"/>
      <c r="L110" s="349"/>
    </row>
    <row r="111" spans="2:12" x14ac:dyDescent="0.2">
      <c r="B111" s="347" t="s">
        <v>25</v>
      </c>
      <c r="C111" s="348"/>
      <c r="D111" s="19"/>
      <c r="E111" s="2"/>
      <c r="F111" s="52">
        <f>'COSTOS Y GASTOS'!F129</f>
        <v>0</v>
      </c>
      <c r="G111" s="42">
        <f t="shared" ref="G111:J112" si="22">+F111*(1+G$77)*G$76</f>
        <v>0</v>
      </c>
      <c r="H111" s="42">
        <f t="shared" si="22"/>
        <v>0</v>
      </c>
      <c r="I111" s="42">
        <f t="shared" si="22"/>
        <v>0</v>
      </c>
      <c r="J111" s="42">
        <f t="shared" si="22"/>
        <v>0</v>
      </c>
      <c r="K111" s="42">
        <f>+J111*(1+K$77)*K$76</f>
        <v>0</v>
      </c>
      <c r="L111" s="42">
        <f>+K111*(1+L$77)*L$76</f>
        <v>0</v>
      </c>
    </row>
    <row r="112" spans="2:12" x14ac:dyDescent="0.2">
      <c r="B112" s="338" t="s">
        <v>24</v>
      </c>
      <c r="C112" s="338"/>
      <c r="D112" s="19"/>
      <c r="E112" s="2"/>
      <c r="F112" s="52">
        <f>'COSTOS Y GASTOS'!F130</f>
        <v>0</v>
      </c>
      <c r="G112" s="42">
        <f t="shared" si="22"/>
        <v>0</v>
      </c>
      <c r="H112" s="42">
        <f t="shared" si="22"/>
        <v>0</v>
      </c>
      <c r="I112" s="42">
        <f t="shared" si="22"/>
        <v>0</v>
      </c>
      <c r="J112" s="42">
        <f t="shared" si="22"/>
        <v>0</v>
      </c>
      <c r="K112" s="42">
        <f>+J112*(1+K$77)*K$76</f>
        <v>0</v>
      </c>
      <c r="L112" s="42">
        <f>+K112*(1+L$77)*L$76</f>
        <v>0</v>
      </c>
    </row>
    <row r="113" spans="2:12" x14ac:dyDescent="0.2">
      <c r="B113" s="323" t="s">
        <v>11</v>
      </c>
      <c r="C113" s="324"/>
      <c r="D113" s="324"/>
      <c r="E113" s="325"/>
      <c r="F113" s="51">
        <f t="shared" ref="F113:L113" si="23">SUM(F111:F112)</f>
        <v>0</v>
      </c>
      <c r="G113" s="51">
        <f t="shared" si="23"/>
        <v>0</v>
      </c>
      <c r="H113" s="51">
        <f t="shared" si="23"/>
        <v>0</v>
      </c>
      <c r="I113" s="51">
        <f t="shared" si="23"/>
        <v>0</v>
      </c>
      <c r="J113" s="51">
        <f t="shared" si="23"/>
        <v>0</v>
      </c>
      <c r="K113" s="51">
        <f t="shared" si="23"/>
        <v>0</v>
      </c>
      <c r="L113" s="51">
        <f t="shared" si="23"/>
        <v>0</v>
      </c>
    </row>
    <row r="114" spans="2:12" x14ac:dyDescent="0.2">
      <c r="B114" s="326" t="s">
        <v>261</v>
      </c>
      <c r="C114" s="327"/>
      <c r="D114" s="327"/>
      <c r="E114" s="327"/>
      <c r="F114" s="327"/>
      <c r="G114" s="327"/>
      <c r="H114" s="327"/>
      <c r="I114" s="327"/>
      <c r="J114" s="327"/>
      <c r="K114" s="327"/>
      <c r="L114" s="328"/>
    </row>
    <row r="115" spans="2:12" x14ac:dyDescent="0.2">
      <c r="B115" s="338" t="s">
        <v>123</v>
      </c>
      <c r="C115" s="338"/>
      <c r="D115" s="19"/>
      <c r="E115" s="2"/>
      <c r="F115" s="52">
        <f>'COSTOS Y GASTOS'!F136</f>
        <v>0</v>
      </c>
      <c r="G115" s="42">
        <f t="shared" ref="G115:J118" si="24">+F115*(1+G$77)*G$76</f>
        <v>0</v>
      </c>
      <c r="H115" s="42">
        <f t="shared" si="24"/>
        <v>0</v>
      </c>
      <c r="I115" s="42">
        <f t="shared" si="24"/>
        <v>0</v>
      </c>
      <c r="J115" s="42">
        <f t="shared" si="24"/>
        <v>0</v>
      </c>
      <c r="K115" s="42">
        <f t="shared" ref="K115:L118" si="25">+J115*(1+K$77)*K$76</f>
        <v>0</v>
      </c>
      <c r="L115" s="42">
        <f t="shared" si="25"/>
        <v>0</v>
      </c>
    </row>
    <row r="116" spans="2:12" x14ac:dyDescent="0.2">
      <c r="B116" s="338" t="s">
        <v>124</v>
      </c>
      <c r="C116" s="338"/>
      <c r="D116" s="19"/>
      <c r="E116" s="2"/>
      <c r="F116" s="52">
        <f>'COSTOS Y GASTOS'!F137</f>
        <v>0</v>
      </c>
      <c r="G116" s="42">
        <f t="shared" si="24"/>
        <v>0</v>
      </c>
      <c r="H116" s="42">
        <f t="shared" si="24"/>
        <v>0</v>
      </c>
      <c r="I116" s="42">
        <f t="shared" si="24"/>
        <v>0</v>
      </c>
      <c r="J116" s="42">
        <f t="shared" si="24"/>
        <v>0</v>
      </c>
      <c r="K116" s="42">
        <f t="shared" si="25"/>
        <v>0</v>
      </c>
      <c r="L116" s="42">
        <f t="shared" si="25"/>
        <v>0</v>
      </c>
    </row>
    <row r="117" spans="2:12" x14ac:dyDescent="0.2">
      <c r="B117" s="338" t="s">
        <v>36</v>
      </c>
      <c r="C117" s="338"/>
      <c r="D117" s="19"/>
      <c r="E117" s="2"/>
      <c r="F117" s="52">
        <f>'COSTOS Y GASTOS'!F138</f>
        <v>0</v>
      </c>
      <c r="G117" s="42">
        <f t="shared" si="24"/>
        <v>0</v>
      </c>
      <c r="H117" s="42">
        <f t="shared" si="24"/>
        <v>0</v>
      </c>
      <c r="I117" s="42">
        <f t="shared" si="24"/>
        <v>0</v>
      </c>
      <c r="J117" s="42">
        <f t="shared" si="24"/>
        <v>0</v>
      </c>
      <c r="K117" s="42">
        <f t="shared" si="25"/>
        <v>0</v>
      </c>
      <c r="L117" s="42">
        <f t="shared" si="25"/>
        <v>0</v>
      </c>
    </row>
    <row r="118" spans="2:12" x14ac:dyDescent="0.2">
      <c r="B118" s="338" t="s">
        <v>125</v>
      </c>
      <c r="C118" s="338"/>
      <c r="D118" s="19"/>
      <c r="E118" s="2"/>
      <c r="F118" s="52">
        <f>'COSTOS Y GASTOS'!F139</f>
        <v>0</v>
      </c>
      <c r="G118" s="42">
        <f t="shared" si="24"/>
        <v>0</v>
      </c>
      <c r="H118" s="42">
        <f t="shared" si="24"/>
        <v>0</v>
      </c>
      <c r="I118" s="42">
        <f t="shared" si="24"/>
        <v>0</v>
      </c>
      <c r="J118" s="42">
        <f t="shared" si="24"/>
        <v>0</v>
      </c>
      <c r="K118" s="42">
        <f t="shared" si="25"/>
        <v>0</v>
      </c>
      <c r="L118" s="42">
        <f t="shared" si="25"/>
        <v>0</v>
      </c>
    </row>
    <row r="119" spans="2:12" x14ac:dyDescent="0.2">
      <c r="B119" s="323" t="s">
        <v>11</v>
      </c>
      <c r="C119" s="324"/>
      <c r="D119" s="324"/>
      <c r="E119" s="325"/>
      <c r="F119" s="51">
        <f t="shared" ref="F119:L119" si="26">SUM(F115:F118)</f>
        <v>0</v>
      </c>
      <c r="G119" s="51">
        <f t="shared" si="26"/>
        <v>0</v>
      </c>
      <c r="H119" s="51">
        <f t="shared" si="26"/>
        <v>0</v>
      </c>
      <c r="I119" s="51">
        <f t="shared" si="26"/>
        <v>0</v>
      </c>
      <c r="J119" s="51">
        <f t="shared" si="26"/>
        <v>0</v>
      </c>
      <c r="K119" s="51">
        <f t="shared" si="26"/>
        <v>0</v>
      </c>
      <c r="L119" s="51">
        <f t="shared" si="26"/>
        <v>0</v>
      </c>
    </row>
    <row r="120" spans="2:12" x14ac:dyDescent="0.2">
      <c r="B120" s="326" t="s">
        <v>207</v>
      </c>
      <c r="C120" s="327"/>
      <c r="D120" s="327"/>
      <c r="E120" s="327"/>
      <c r="F120" s="327"/>
      <c r="G120" s="327"/>
      <c r="H120" s="327"/>
      <c r="I120" s="327"/>
      <c r="J120" s="327"/>
      <c r="K120" s="327"/>
      <c r="L120" s="328"/>
    </row>
    <row r="121" spans="2:12" x14ac:dyDescent="0.2">
      <c r="B121" s="338" t="s">
        <v>12</v>
      </c>
      <c r="C121" s="338"/>
      <c r="D121" s="19"/>
      <c r="E121" s="2"/>
      <c r="F121" s="52">
        <f>'COSTOS Y GASTOS'!E145</f>
        <v>0</v>
      </c>
      <c r="G121" s="42">
        <f t="shared" ref="G121:J123" si="27">+F121*(1+G$77)*G$76</f>
        <v>0</v>
      </c>
      <c r="H121" s="42">
        <f t="shared" si="27"/>
        <v>0</v>
      </c>
      <c r="I121" s="42">
        <f t="shared" si="27"/>
        <v>0</v>
      </c>
      <c r="J121" s="42">
        <f t="shared" si="27"/>
        <v>0</v>
      </c>
      <c r="K121" s="42">
        <f>+J121*(1+K$77)*K$76</f>
        <v>0</v>
      </c>
      <c r="L121" s="42">
        <f>+K121*(1+L$77)*L$76</f>
        <v>0</v>
      </c>
    </row>
    <row r="122" spans="2:12" x14ac:dyDescent="0.2">
      <c r="B122" s="338" t="s">
        <v>13</v>
      </c>
      <c r="C122" s="338"/>
      <c r="D122" s="19"/>
      <c r="E122" s="2"/>
      <c r="F122" s="52">
        <f>'COSTOS Y GASTOS'!E146</f>
        <v>0</v>
      </c>
      <c r="G122" s="42">
        <f>AVERAGE(INGRESOS!D47:E47)*'COSTOS Y GASTOS'!$C$146*(1+CONSOLIDADO!$G$77)*'COSTOS Y GASTOS'!$D$146</f>
        <v>0</v>
      </c>
      <c r="H122" s="42">
        <f>AVERAGE(INGRESOS!F47:G47)*'COSTOS Y GASTOS'!$C$146*(1+CONSOLIDADO!$G$77)^2*'COSTOS Y GASTOS'!$D$146</f>
        <v>0</v>
      </c>
      <c r="I122" s="42">
        <f>AVERAGE(INGRESOS!H47:I47)*'COSTOS Y GASTOS'!$C$146*(1+CONSOLIDADO!$G$77)^3*'COSTOS Y GASTOS'!$D$146</f>
        <v>0</v>
      </c>
      <c r="J122" s="42">
        <f>AVERAGE(INGRESOS!J47:K47)*'COSTOS Y GASTOS'!$C$146*(1+CONSOLIDADO!$G$77)^4*'COSTOS Y GASTOS'!$D$146</f>
        <v>0</v>
      </c>
      <c r="K122" s="42">
        <f>AVERAGE(INGRESOS!K47:L47)*'COSTOS Y GASTOS'!$C$146*(1+CONSOLIDADO!$G$77)^4*'COSTOS Y GASTOS'!$D$146</f>
        <v>0</v>
      </c>
      <c r="L122" s="42">
        <f>AVERAGE(INGRESOS!L47:M47)*'COSTOS Y GASTOS'!$C$146*(1+CONSOLIDADO!$G$77)^4*'COSTOS Y GASTOS'!$D$146</f>
        <v>0</v>
      </c>
    </row>
    <row r="123" spans="2:12" x14ac:dyDescent="0.2">
      <c r="B123" s="338" t="s">
        <v>14</v>
      </c>
      <c r="C123" s="338"/>
      <c r="D123" s="19"/>
      <c r="E123" s="2"/>
      <c r="F123" s="52">
        <f>'COSTOS Y GASTOS'!E147</f>
        <v>0</v>
      </c>
      <c r="G123" s="42">
        <f t="shared" si="27"/>
        <v>0</v>
      </c>
      <c r="H123" s="42">
        <f t="shared" si="27"/>
        <v>0</v>
      </c>
      <c r="I123" s="42">
        <f t="shared" si="27"/>
        <v>0</v>
      </c>
      <c r="J123" s="42">
        <f t="shared" si="27"/>
        <v>0</v>
      </c>
      <c r="K123" s="42">
        <f>+J123*(1+K$77)*K$76</f>
        <v>0</v>
      </c>
      <c r="L123" s="42">
        <f>+K123*(1+L$77)*L$76</f>
        <v>0</v>
      </c>
    </row>
    <row r="124" spans="2:12" x14ac:dyDescent="0.2">
      <c r="B124" s="338" t="s">
        <v>15</v>
      </c>
      <c r="C124" s="338"/>
      <c r="D124" s="19"/>
      <c r="E124" s="2"/>
      <c r="F124" s="52">
        <f>'COSTOS Y GASTOS'!E148</f>
        <v>0</v>
      </c>
      <c r="G124" s="42">
        <f>SUM(INGRESOS!D$38:E$44)*'COSTOS Y GASTOS'!$C$148*(1+CONSOLIDADO!$G$77)</f>
        <v>0</v>
      </c>
      <c r="H124" s="42">
        <f>SUM(INGRESOS!F$38:G$44)*'COSTOS Y GASTOS'!$C$148*(1+CONSOLIDADO!$G$77)^2</f>
        <v>0</v>
      </c>
      <c r="I124" s="42">
        <f>SUM(INGRESOS!H$38:I$44)*'COSTOS Y GASTOS'!$C$148*(1+CONSOLIDADO!$G$77)^3</f>
        <v>0</v>
      </c>
      <c r="J124" s="42">
        <f>SUM(INGRESOS!J$38:K$44)*'COSTOS Y GASTOS'!$C$148*(1+CONSOLIDADO!$G$77)^4</f>
        <v>0</v>
      </c>
      <c r="K124" s="42">
        <f>SUM(INGRESOS!K$38:L$44)*'COSTOS Y GASTOS'!$C$148*(1+CONSOLIDADO!$G$77)^4</f>
        <v>0</v>
      </c>
      <c r="L124" s="42">
        <f>SUM(INGRESOS!L$38:M$44)*'COSTOS Y GASTOS'!$C$148*(1+CONSOLIDADO!$G$77)^4</f>
        <v>0</v>
      </c>
    </row>
    <row r="125" spans="2:12" x14ac:dyDescent="0.2">
      <c r="B125" s="323" t="s">
        <v>11</v>
      </c>
      <c r="C125" s="324"/>
      <c r="D125" s="324"/>
      <c r="E125" s="325"/>
      <c r="F125" s="51">
        <f t="shared" ref="F125:L125" si="28">SUM(F121:F124)</f>
        <v>0</v>
      </c>
      <c r="G125" s="51">
        <f t="shared" si="28"/>
        <v>0</v>
      </c>
      <c r="H125" s="51">
        <f t="shared" si="28"/>
        <v>0</v>
      </c>
      <c r="I125" s="51">
        <f t="shared" si="28"/>
        <v>0</v>
      </c>
      <c r="J125" s="51">
        <f t="shared" si="28"/>
        <v>0</v>
      </c>
      <c r="K125" s="51">
        <f t="shared" si="28"/>
        <v>0</v>
      </c>
      <c r="L125" s="51">
        <f t="shared" si="28"/>
        <v>0</v>
      </c>
    </row>
    <row r="126" spans="2:12" x14ac:dyDescent="0.2">
      <c r="B126" s="326" t="s">
        <v>439</v>
      </c>
      <c r="C126" s="327"/>
      <c r="D126" s="327"/>
      <c r="E126" s="327"/>
      <c r="F126" s="327"/>
      <c r="G126" s="327"/>
      <c r="H126" s="327"/>
      <c r="I126" s="327"/>
      <c r="J126" s="327"/>
      <c r="K126" s="327"/>
      <c r="L126" s="328"/>
    </row>
    <row r="127" spans="2:12" x14ac:dyDescent="0.2">
      <c r="B127" s="338" t="s">
        <v>126</v>
      </c>
      <c r="C127" s="338"/>
      <c r="D127" s="19"/>
      <c r="E127" s="2"/>
      <c r="F127" s="52">
        <f>'COSTOS Y GASTOS'!D154</f>
        <v>0</v>
      </c>
      <c r="G127" s="42">
        <f t="shared" ref="G127:J137" si="29">+F127*(1+G$77)*G$76</f>
        <v>0</v>
      </c>
      <c r="H127" s="42">
        <f t="shared" si="29"/>
        <v>0</v>
      </c>
      <c r="I127" s="42">
        <f t="shared" si="29"/>
        <v>0</v>
      </c>
      <c r="J127" s="42">
        <f t="shared" si="29"/>
        <v>0</v>
      </c>
      <c r="K127" s="42">
        <f t="shared" ref="K127:K137" si="30">+J127*(1+K$77)*K$76</f>
        <v>0</v>
      </c>
      <c r="L127" s="42">
        <f t="shared" ref="L127:L137" si="31">+K127*(1+L$77)*L$76</f>
        <v>0</v>
      </c>
    </row>
    <row r="128" spans="2:12" x14ac:dyDescent="0.2">
      <c r="B128" s="338" t="s">
        <v>17</v>
      </c>
      <c r="C128" s="338"/>
      <c r="D128" s="19"/>
      <c r="E128" s="2"/>
      <c r="F128" s="52">
        <f>'COSTOS Y GASTOS'!D155</f>
        <v>0</v>
      </c>
      <c r="G128" s="42">
        <f t="shared" si="29"/>
        <v>0</v>
      </c>
      <c r="H128" s="42">
        <f t="shared" si="29"/>
        <v>0</v>
      </c>
      <c r="I128" s="42">
        <f t="shared" si="29"/>
        <v>0</v>
      </c>
      <c r="J128" s="42">
        <f t="shared" si="29"/>
        <v>0</v>
      </c>
      <c r="K128" s="42">
        <f t="shared" si="30"/>
        <v>0</v>
      </c>
      <c r="L128" s="42">
        <f t="shared" si="31"/>
        <v>0</v>
      </c>
    </row>
    <row r="129" spans="2:12" x14ac:dyDescent="0.2">
      <c r="B129" s="338" t="s">
        <v>18</v>
      </c>
      <c r="C129" s="338"/>
      <c r="D129" s="19"/>
      <c r="E129" s="2"/>
      <c r="F129" s="52">
        <f>'COSTOS Y GASTOS'!D156</f>
        <v>0</v>
      </c>
      <c r="G129" s="42">
        <f t="shared" si="29"/>
        <v>0</v>
      </c>
      <c r="H129" s="42">
        <f t="shared" si="29"/>
        <v>0</v>
      </c>
      <c r="I129" s="42">
        <f t="shared" si="29"/>
        <v>0</v>
      </c>
      <c r="J129" s="42">
        <f t="shared" si="29"/>
        <v>0</v>
      </c>
      <c r="K129" s="42">
        <f t="shared" si="30"/>
        <v>0</v>
      </c>
      <c r="L129" s="42">
        <f t="shared" si="31"/>
        <v>0</v>
      </c>
    </row>
    <row r="130" spans="2:12" x14ac:dyDescent="0.2">
      <c r="B130" s="338" t="s">
        <v>19</v>
      </c>
      <c r="C130" s="338"/>
      <c r="D130" s="19"/>
      <c r="E130" s="2"/>
      <c r="F130" s="52">
        <f>'COSTOS Y GASTOS'!D157</f>
        <v>0</v>
      </c>
      <c r="G130" s="42">
        <f t="shared" si="29"/>
        <v>0</v>
      </c>
      <c r="H130" s="42">
        <f t="shared" si="29"/>
        <v>0</v>
      </c>
      <c r="I130" s="42">
        <f t="shared" si="29"/>
        <v>0</v>
      </c>
      <c r="J130" s="42">
        <f t="shared" si="29"/>
        <v>0</v>
      </c>
      <c r="K130" s="42">
        <f t="shared" si="30"/>
        <v>0</v>
      </c>
      <c r="L130" s="42">
        <f t="shared" si="31"/>
        <v>0</v>
      </c>
    </row>
    <row r="131" spans="2:12" x14ac:dyDescent="0.2">
      <c r="B131" s="338" t="s">
        <v>129</v>
      </c>
      <c r="C131" s="338"/>
      <c r="D131" s="19"/>
      <c r="E131" s="2"/>
      <c r="F131" s="52">
        <f>'COSTOS Y GASTOS'!E176</f>
        <v>0</v>
      </c>
      <c r="G131" s="42">
        <f t="shared" si="29"/>
        <v>0</v>
      </c>
      <c r="H131" s="42">
        <f t="shared" si="29"/>
        <v>0</v>
      </c>
      <c r="I131" s="42">
        <f t="shared" si="29"/>
        <v>0</v>
      </c>
      <c r="J131" s="42">
        <f t="shared" si="29"/>
        <v>0</v>
      </c>
      <c r="K131" s="42">
        <f t="shared" si="30"/>
        <v>0</v>
      </c>
      <c r="L131" s="42">
        <f t="shared" si="31"/>
        <v>0</v>
      </c>
    </row>
    <row r="132" spans="2:12" x14ac:dyDescent="0.2">
      <c r="B132" s="338" t="s">
        <v>20</v>
      </c>
      <c r="C132" s="338"/>
      <c r="D132" s="19"/>
      <c r="E132" s="2"/>
      <c r="F132" s="52">
        <f>'COSTOS Y GASTOS'!D158</f>
        <v>0</v>
      </c>
      <c r="G132" s="42">
        <f t="shared" si="29"/>
        <v>0</v>
      </c>
      <c r="H132" s="42">
        <f t="shared" si="29"/>
        <v>0</v>
      </c>
      <c r="I132" s="42">
        <f t="shared" si="29"/>
        <v>0</v>
      </c>
      <c r="J132" s="42">
        <f t="shared" si="29"/>
        <v>0</v>
      </c>
      <c r="K132" s="42">
        <f t="shared" si="30"/>
        <v>0</v>
      </c>
      <c r="L132" s="42">
        <f t="shared" si="31"/>
        <v>0</v>
      </c>
    </row>
    <row r="133" spans="2:12" x14ac:dyDescent="0.2">
      <c r="B133" s="338" t="s">
        <v>127</v>
      </c>
      <c r="C133" s="338"/>
      <c r="D133" s="19"/>
      <c r="E133" s="2"/>
      <c r="F133" s="52">
        <f>'COSTOS Y GASTOS'!D159</f>
        <v>0</v>
      </c>
      <c r="G133" s="42">
        <f t="shared" si="29"/>
        <v>0</v>
      </c>
      <c r="H133" s="42">
        <f t="shared" si="29"/>
        <v>0</v>
      </c>
      <c r="I133" s="42">
        <f t="shared" si="29"/>
        <v>0</v>
      </c>
      <c r="J133" s="42">
        <f t="shared" si="29"/>
        <v>0</v>
      </c>
      <c r="K133" s="42">
        <f t="shared" si="30"/>
        <v>0</v>
      </c>
      <c r="L133" s="42">
        <f t="shared" si="31"/>
        <v>0</v>
      </c>
    </row>
    <row r="134" spans="2:12" x14ac:dyDescent="0.2">
      <c r="B134" s="338" t="s">
        <v>128</v>
      </c>
      <c r="C134" s="338"/>
      <c r="D134" s="19"/>
      <c r="E134" s="2"/>
      <c r="F134" s="52">
        <f>'COSTOS Y GASTOS'!D160</f>
        <v>0</v>
      </c>
      <c r="G134" s="42">
        <f t="shared" si="29"/>
        <v>0</v>
      </c>
      <c r="H134" s="42">
        <f t="shared" si="29"/>
        <v>0</v>
      </c>
      <c r="I134" s="42">
        <f t="shared" si="29"/>
        <v>0</v>
      </c>
      <c r="J134" s="42">
        <f t="shared" si="29"/>
        <v>0</v>
      </c>
      <c r="K134" s="42">
        <f t="shared" si="30"/>
        <v>0</v>
      </c>
      <c r="L134" s="42">
        <f t="shared" si="31"/>
        <v>0</v>
      </c>
    </row>
    <row r="135" spans="2:12" x14ac:dyDescent="0.2">
      <c r="B135" s="338" t="s">
        <v>16</v>
      </c>
      <c r="C135" s="338"/>
      <c r="D135" s="19"/>
      <c r="E135" s="2"/>
      <c r="F135" s="52">
        <f>'COSTOS Y GASTOS'!D161</f>
        <v>0</v>
      </c>
      <c r="G135" s="42">
        <f t="shared" si="29"/>
        <v>0</v>
      </c>
      <c r="H135" s="42">
        <f t="shared" si="29"/>
        <v>0</v>
      </c>
      <c r="I135" s="42">
        <f t="shared" si="29"/>
        <v>0</v>
      </c>
      <c r="J135" s="42">
        <f t="shared" si="29"/>
        <v>0</v>
      </c>
      <c r="K135" s="42">
        <f t="shared" si="30"/>
        <v>0</v>
      </c>
      <c r="L135" s="42">
        <f t="shared" si="31"/>
        <v>0</v>
      </c>
    </row>
    <row r="136" spans="2:12" x14ac:dyDescent="0.2">
      <c r="B136" s="338" t="s">
        <v>130</v>
      </c>
      <c r="C136" s="338"/>
      <c r="D136" s="19"/>
      <c r="E136" s="2"/>
      <c r="F136" s="52">
        <f>'COSTOS Y GASTOS'!D162</f>
        <v>0</v>
      </c>
      <c r="G136" s="42">
        <f t="shared" si="29"/>
        <v>0</v>
      </c>
      <c r="H136" s="42">
        <f t="shared" si="29"/>
        <v>0</v>
      </c>
      <c r="I136" s="42">
        <f t="shared" si="29"/>
        <v>0</v>
      </c>
      <c r="J136" s="42">
        <f t="shared" si="29"/>
        <v>0</v>
      </c>
      <c r="K136" s="42">
        <f t="shared" si="30"/>
        <v>0</v>
      </c>
      <c r="L136" s="42">
        <f t="shared" si="31"/>
        <v>0</v>
      </c>
    </row>
    <row r="137" spans="2:12" x14ac:dyDescent="0.2">
      <c r="B137" s="338" t="s">
        <v>262</v>
      </c>
      <c r="C137" s="338"/>
      <c r="D137" s="19"/>
      <c r="E137" s="2"/>
      <c r="F137" s="52">
        <f>'COSTOS Y GASTOS'!D163</f>
        <v>0</v>
      </c>
      <c r="G137" s="42">
        <f t="shared" si="29"/>
        <v>0</v>
      </c>
      <c r="H137" s="42">
        <f t="shared" si="29"/>
        <v>0</v>
      </c>
      <c r="I137" s="42">
        <f t="shared" si="29"/>
        <v>0</v>
      </c>
      <c r="J137" s="42">
        <f t="shared" si="29"/>
        <v>0</v>
      </c>
      <c r="K137" s="42">
        <f t="shared" si="30"/>
        <v>0</v>
      </c>
      <c r="L137" s="42">
        <f t="shared" si="31"/>
        <v>0</v>
      </c>
    </row>
    <row r="138" spans="2:12" x14ac:dyDescent="0.2">
      <c r="B138" s="323" t="s">
        <v>11</v>
      </c>
      <c r="C138" s="324"/>
      <c r="D138" s="324"/>
      <c r="E138" s="325"/>
      <c r="F138" s="51">
        <f t="shared" ref="F138:L138" si="32">SUM(F127:F137)</f>
        <v>0</v>
      </c>
      <c r="G138" s="51">
        <f t="shared" si="32"/>
        <v>0</v>
      </c>
      <c r="H138" s="51">
        <f t="shared" si="32"/>
        <v>0</v>
      </c>
      <c r="I138" s="51">
        <f t="shared" si="32"/>
        <v>0</v>
      </c>
      <c r="J138" s="51">
        <f t="shared" si="32"/>
        <v>0</v>
      </c>
      <c r="K138" s="51">
        <f t="shared" si="32"/>
        <v>0</v>
      </c>
      <c r="L138" s="51">
        <f t="shared" si="32"/>
        <v>0</v>
      </c>
    </row>
    <row r="139" spans="2:12" x14ac:dyDescent="0.2">
      <c r="B139" s="326" t="s">
        <v>440</v>
      </c>
      <c r="C139" s="327"/>
      <c r="D139" s="327"/>
      <c r="E139" s="327"/>
      <c r="F139" s="327"/>
      <c r="G139" s="327"/>
      <c r="H139" s="327"/>
      <c r="I139" s="327"/>
      <c r="J139" s="327"/>
      <c r="K139" s="327"/>
      <c r="L139" s="328"/>
    </row>
    <row r="140" spans="2:12" x14ac:dyDescent="0.2">
      <c r="B140" s="338" t="s">
        <v>21</v>
      </c>
      <c r="C140" s="338"/>
      <c r="D140" s="19"/>
      <c r="E140" s="2"/>
      <c r="F140" s="52">
        <f>'COSTOS Y GASTOS'!F181</f>
        <v>0</v>
      </c>
      <c r="G140" s="42">
        <f t="shared" ref="G140:J141" si="33">+F140*(1+G$77)*G$76</f>
        <v>0</v>
      </c>
      <c r="H140" s="42">
        <f t="shared" si="33"/>
        <v>0</v>
      </c>
      <c r="I140" s="42">
        <f t="shared" si="33"/>
        <v>0</v>
      </c>
      <c r="J140" s="42">
        <f t="shared" si="33"/>
        <v>0</v>
      </c>
      <c r="K140" s="42">
        <f t="shared" ref="K140:L142" si="34">+J140*(1+K$77)*K$76</f>
        <v>0</v>
      </c>
      <c r="L140" s="42">
        <f t="shared" si="34"/>
        <v>0</v>
      </c>
    </row>
    <row r="141" spans="2:12" x14ac:dyDescent="0.2">
      <c r="B141" s="338" t="s">
        <v>22</v>
      </c>
      <c r="C141" s="338"/>
      <c r="D141" s="19"/>
      <c r="E141" s="2"/>
      <c r="F141" s="52">
        <f>'COSTOS Y GASTOS'!F182</f>
        <v>0</v>
      </c>
      <c r="G141" s="42">
        <f t="shared" si="33"/>
        <v>0</v>
      </c>
      <c r="H141" s="42">
        <f t="shared" si="33"/>
        <v>0</v>
      </c>
      <c r="I141" s="42">
        <f t="shared" si="33"/>
        <v>0</v>
      </c>
      <c r="J141" s="42">
        <f t="shared" si="33"/>
        <v>0</v>
      </c>
      <c r="K141" s="42">
        <f t="shared" si="34"/>
        <v>0</v>
      </c>
      <c r="L141" s="42">
        <f t="shared" si="34"/>
        <v>0</v>
      </c>
    </row>
    <row r="142" spans="2:12" x14ac:dyDescent="0.2">
      <c r="B142" s="338" t="s">
        <v>23</v>
      </c>
      <c r="C142" s="338"/>
      <c r="D142" s="19"/>
      <c r="E142" s="2"/>
      <c r="F142" s="52">
        <f>'COSTOS Y GASTOS'!F183</f>
        <v>21010860</v>
      </c>
      <c r="G142" s="42">
        <f>0*(1+G$77)*G$76</f>
        <v>0</v>
      </c>
      <c r="H142" s="42">
        <f>+G142*(1+H$77)*H$76</f>
        <v>0</v>
      </c>
      <c r="I142" s="42">
        <f>+H142*(1+I$77)*I$76</f>
        <v>0</v>
      </c>
      <c r="J142" s="42">
        <f>+I142*(1+J$77)*J$76</f>
        <v>0</v>
      </c>
      <c r="K142" s="42">
        <f t="shared" si="34"/>
        <v>0</v>
      </c>
      <c r="L142" s="42">
        <f t="shared" si="34"/>
        <v>0</v>
      </c>
    </row>
    <row r="143" spans="2:12" x14ac:dyDescent="0.2">
      <c r="B143" s="323" t="s">
        <v>11</v>
      </c>
      <c r="C143" s="324"/>
      <c r="D143" s="324"/>
      <c r="E143" s="325"/>
      <c r="F143" s="51">
        <f t="shared" ref="F143:L143" si="35">SUM(F140:F142)</f>
        <v>21010860</v>
      </c>
      <c r="G143" s="51">
        <f t="shared" si="35"/>
        <v>0</v>
      </c>
      <c r="H143" s="51">
        <f t="shared" si="35"/>
        <v>0</v>
      </c>
      <c r="I143" s="51">
        <f t="shared" si="35"/>
        <v>0</v>
      </c>
      <c r="J143" s="51">
        <f t="shared" si="35"/>
        <v>0</v>
      </c>
      <c r="K143" s="51">
        <f t="shared" si="35"/>
        <v>0</v>
      </c>
      <c r="L143" s="51">
        <f t="shared" si="35"/>
        <v>0</v>
      </c>
    </row>
    <row r="144" spans="2:12" x14ac:dyDescent="0.2">
      <c r="B144" s="326" t="s">
        <v>441</v>
      </c>
      <c r="C144" s="327"/>
      <c r="D144" s="327"/>
      <c r="E144" s="327"/>
      <c r="F144" s="327"/>
      <c r="G144" s="327"/>
      <c r="H144" s="327"/>
      <c r="I144" s="327"/>
      <c r="J144" s="327"/>
      <c r="K144" s="327"/>
      <c r="L144" s="328"/>
    </row>
    <row r="145" spans="2:12" x14ac:dyDescent="0.2">
      <c r="B145" s="338" t="s">
        <v>24</v>
      </c>
      <c r="C145" s="338"/>
      <c r="D145" s="19"/>
      <c r="E145" s="2"/>
      <c r="F145" s="52">
        <f>'COSTOS Y GASTOS'!E189</f>
        <v>0</v>
      </c>
      <c r="G145" s="42">
        <f t="shared" ref="G145:J152" si="36">+F145*(1+G$77)*G$76</f>
        <v>0</v>
      </c>
      <c r="H145" s="42">
        <f t="shared" si="36"/>
        <v>0</v>
      </c>
      <c r="I145" s="42">
        <f t="shared" si="36"/>
        <v>0</v>
      </c>
      <c r="J145" s="42">
        <f t="shared" si="36"/>
        <v>0</v>
      </c>
      <c r="K145" s="42">
        <f t="shared" ref="K145:K152" si="37">+J145*(1+K$77)*K$76</f>
        <v>0</v>
      </c>
      <c r="L145" s="42">
        <f t="shared" ref="L145:L152" si="38">+K145*(1+L$77)*L$76</f>
        <v>0</v>
      </c>
    </row>
    <row r="146" spans="2:12" x14ac:dyDescent="0.2">
      <c r="B146" s="338" t="s">
        <v>25</v>
      </c>
      <c r="C146" s="338"/>
      <c r="D146" s="19"/>
      <c r="E146" s="2"/>
      <c r="F146" s="52">
        <f>'COSTOS Y GASTOS'!E190</f>
        <v>0</v>
      </c>
      <c r="G146" s="42">
        <f t="shared" si="36"/>
        <v>0</v>
      </c>
      <c r="H146" s="42">
        <f t="shared" si="36"/>
        <v>0</v>
      </c>
      <c r="I146" s="42">
        <f t="shared" si="36"/>
        <v>0</v>
      </c>
      <c r="J146" s="42">
        <f t="shared" si="36"/>
        <v>0</v>
      </c>
      <c r="K146" s="42">
        <f t="shared" si="37"/>
        <v>0</v>
      </c>
      <c r="L146" s="42">
        <f t="shared" si="38"/>
        <v>0</v>
      </c>
    </row>
    <row r="147" spans="2:12" x14ac:dyDescent="0.2">
      <c r="B147" s="338" t="s">
        <v>26</v>
      </c>
      <c r="C147" s="338"/>
      <c r="D147" s="19"/>
      <c r="E147" s="2"/>
      <c r="F147" s="52">
        <f>'COSTOS Y GASTOS'!E191</f>
        <v>0</v>
      </c>
      <c r="G147" s="42">
        <f t="shared" si="36"/>
        <v>0</v>
      </c>
      <c r="H147" s="42">
        <f t="shared" si="36"/>
        <v>0</v>
      </c>
      <c r="I147" s="42">
        <f t="shared" si="36"/>
        <v>0</v>
      </c>
      <c r="J147" s="42">
        <f t="shared" si="36"/>
        <v>0</v>
      </c>
      <c r="K147" s="42">
        <f t="shared" si="37"/>
        <v>0</v>
      </c>
      <c r="L147" s="42">
        <f t="shared" si="38"/>
        <v>0</v>
      </c>
    </row>
    <row r="148" spans="2:12" x14ac:dyDescent="0.2">
      <c r="B148" s="338" t="s">
        <v>27</v>
      </c>
      <c r="C148" s="338"/>
      <c r="D148" s="19"/>
      <c r="E148" s="2"/>
      <c r="F148" s="52">
        <f>'COSTOS Y GASTOS'!E192</f>
        <v>0</v>
      </c>
      <c r="G148" s="42">
        <f t="shared" si="36"/>
        <v>0</v>
      </c>
      <c r="H148" s="42">
        <f t="shared" si="36"/>
        <v>0</v>
      </c>
      <c r="I148" s="42">
        <f t="shared" si="36"/>
        <v>0</v>
      </c>
      <c r="J148" s="42">
        <f t="shared" si="36"/>
        <v>0</v>
      </c>
      <c r="K148" s="42">
        <f t="shared" si="37"/>
        <v>0</v>
      </c>
      <c r="L148" s="42">
        <f t="shared" si="38"/>
        <v>0</v>
      </c>
    </row>
    <row r="149" spans="2:12" x14ac:dyDescent="0.2">
      <c r="B149" s="338" t="s">
        <v>28</v>
      </c>
      <c r="C149" s="338"/>
      <c r="D149" s="19"/>
      <c r="E149" s="2"/>
      <c r="F149" s="52">
        <f>'COSTOS Y GASTOS'!E193</f>
        <v>0</v>
      </c>
      <c r="G149" s="42">
        <f t="shared" si="36"/>
        <v>0</v>
      </c>
      <c r="H149" s="42">
        <f t="shared" si="36"/>
        <v>0</v>
      </c>
      <c r="I149" s="42">
        <f t="shared" si="36"/>
        <v>0</v>
      </c>
      <c r="J149" s="42">
        <f t="shared" si="36"/>
        <v>0</v>
      </c>
      <c r="K149" s="42">
        <f t="shared" si="37"/>
        <v>0</v>
      </c>
      <c r="L149" s="42">
        <f t="shared" si="38"/>
        <v>0</v>
      </c>
    </row>
    <row r="150" spans="2:12" x14ac:dyDescent="0.2">
      <c r="B150" s="338" t="s">
        <v>29</v>
      </c>
      <c r="C150" s="338"/>
      <c r="D150" s="19"/>
      <c r="E150" s="2"/>
      <c r="F150" s="52">
        <f>'COSTOS Y GASTOS'!E194</f>
        <v>0</v>
      </c>
      <c r="G150" s="42">
        <f t="shared" si="36"/>
        <v>0</v>
      </c>
      <c r="H150" s="42">
        <f t="shared" si="36"/>
        <v>0</v>
      </c>
      <c r="I150" s="42">
        <f t="shared" si="36"/>
        <v>0</v>
      </c>
      <c r="J150" s="42">
        <f t="shared" si="36"/>
        <v>0</v>
      </c>
      <c r="K150" s="42">
        <f t="shared" si="37"/>
        <v>0</v>
      </c>
      <c r="L150" s="42">
        <f t="shared" si="38"/>
        <v>0</v>
      </c>
    </row>
    <row r="151" spans="2:12" x14ac:dyDescent="0.2">
      <c r="B151" s="338" t="s">
        <v>30</v>
      </c>
      <c r="C151" s="338"/>
      <c r="D151" s="19"/>
      <c r="E151" s="2"/>
      <c r="F151" s="52">
        <f>'COSTOS Y GASTOS'!E195</f>
        <v>0</v>
      </c>
      <c r="G151" s="42">
        <f t="shared" si="36"/>
        <v>0</v>
      </c>
      <c r="H151" s="42">
        <f t="shared" si="36"/>
        <v>0</v>
      </c>
      <c r="I151" s="42">
        <f t="shared" si="36"/>
        <v>0</v>
      </c>
      <c r="J151" s="42">
        <f t="shared" si="36"/>
        <v>0</v>
      </c>
      <c r="K151" s="42">
        <f t="shared" si="37"/>
        <v>0</v>
      </c>
      <c r="L151" s="42">
        <f t="shared" si="38"/>
        <v>0</v>
      </c>
    </row>
    <row r="152" spans="2:12" x14ac:dyDescent="0.2">
      <c r="B152" s="338" t="s">
        <v>31</v>
      </c>
      <c r="C152" s="338"/>
      <c r="D152" s="19"/>
      <c r="E152" s="2"/>
      <c r="F152" s="52">
        <f>'COSTOS Y GASTOS'!E196</f>
        <v>0</v>
      </c>
      <c r="G152" s="42">
        <f t="shared" si="36"/>
        <v>0</v>
      </c>
      <c r="H152" s="42">
        <f t="shared" si="36"/>
        <v>0</v>
      </c>
      <c r="I152" s="42">
        <f t="shared" si="36"/>
        <v>0</v>
      </c>
      <c r="J152" s="42">
        <f t="shared" si="36"/>
        <v>0</v>
      </c>
      <c r="K152" s="42">
        <f t="shared" si="37"/>
        <v>0</v>
      </c>
      <c r="L152" s="42">
        <f t="shared" si="38"/>
        <v>0</v>
      </c>
    </row>
    <row r="153" spans="2:12" x14ac:dyDescent="0.2">
      <c r="B153" s="323" t="s">
        <v>11</v>
      </c>
      <c r="C153" s="324"/>
      <c r="D153" s="324"/>
      <c r="E153" s="325"/>
      <c r="F153" s="51">
        <f t="shared" ref="F153:L153" si="39">SUM(F145:F152)</f>
        <v>0</v>
      </c>
      <c r="G153" s="51">
        <f t="shared" si="39"/>
        <v>0</v>
      </c>
      <c r="H153" s="51">
        <f t="shared" si="39"/>
        <v>0</v>
      </c>
      <c r="I153" s="51">
        <f t="shared" si="39"/>
        <v>0</v>
      </c>
      <c r="J153" s="51">
        <f t="shared" si="39"/>
        <v>0</v>
      </c>
      <c r="K153" s="51">
        <f t="shared" si="39"/>
        <v>0</v>
      </c>
      <c r="L153" s="51">
        <f t="shared" si="39"/>
        <v>0</v>
      </c>
    </row>
    <row r="154" spans="2:12" x14ac:dyDescent="0.2">
      <c r="B154" s="350" t="s">
        <v>264</v>
      </c>
      <c r="C154" s="351"/>
      <c r="D154" s="351"/>
      <c r="E154" s="351"/>
      <c r="F154" s="351"/>
      <c r="G154" s="351"/>
      <c r="H154" s="351"/>
      <c r="I154" s="351"/>
      <c r="J154" s="351"/>
      <c r="K154" s="351"/>
      <c r="L154" s="352"/>
    </row>
    <row r="155" spans="2:12" x14ac:dyDescent="0.2">
      <c r="B155" s="361" t="s">
        <v>32</v>
      </c>
      <c r="C155" s="361"/>
      <c r="D155" s="23"/>
      <c r="E155" s="4"/>
      <c r="F155" s="52">
        <f>'COSTOS Y GASTOS'!E202</f>
        <v>0</v>
      </c>
      <c r="G155" s="42">
        <f t="shared" ref="G155:J157" si="40">+F155*(1+G$77)*G$76</f>
        <v>0</v>
      </c>
      <c r="H155" s="42">
        <f t="shared" si="40"/>
        <v>0</v>
      </c>
      <c r="I155" s="42">
        <f t="shared" si="40"/>
        <v>0</v>
      </c>
      <c r="J155" s="42">
        <f t="shared" si="40"/>
        <v>0</v>
      </c>
      <c r="K155" s="42">
        <f t="shared" ref="K155:L157" si="41">+J155*(1+K$77)*K$76</f>
        <v>0</v>
      </c>
      <c r="L155" s="42">
        <f t="shared" si="41"/>
        <v>0</v>
      </c>
    </row>
    <row r="156" spans="2:12" x14ac:dyDescent="0.2">
      <c r="B156" s="361" t="s">
        <v>33</v>
      </c>
      <c r="C156" s="361"/>
      <c r="D156" s="23"/>
      <c r="E156" s="4"/>
      <c r="F156" s="52">
        <f>'COSTOS Y GASTOS'!E203</f>
        <v>0</v>
      </c>
      <c r="G156" s="42">
        <f t="shared" si="40"/>
        <v>0</v>
      </c>
      <c r="H156" s="42">
        <f t="shared" si="40"/>
        <v>0</v>
      </c>
      <c r="I156" s="42">
        <f t="shared" si="40"/>
        <v>0</v>
      </c>
      <c r="J156" s="42">
        <f t="shared" si="40"/>
        <v>0</v>
      </c>
      <c r="K156" s="42">
        <f t="shared" si="41"/>
        <v>0</v>
      </c>
      <c r="L156" s="42">
        <f t="shared" si="41"/>
        <v>0</v>
      </c>
    </row>
    <row r="157" spans="2:12" x14ac:dyDescent="0.2">
      <c r="B157" s="361" t="s">
        <v>34</v>
      </c>
      <c r="C157" s="361"/>
      <c r="D157" s="23"/>
      <c r="E157" s="4"/>
      <c r="F157" s="52">
        <f>'COSTOS Y GASTOS'!E204</f>
        <v>0</v>
      </c>
      <c r="G157" s="42">
        <f t="shared" si="40"/>
        <v>0</v>
      </c>
      <c r="H157" s="42">
        <f t="shared" si="40"/>
        <v>0</v>
      </c>
      <c r="I157" s="42">
        <f t="shared" si="40"/>
        <v>0</v>
      </c>
      <c r="J157" s="42">
        <f t="shared" si="40"/>
        <v>0</v>
      </c>
      <c r="K157" s="42">
        <f t="shared" si="41"/>
        <v>0</v>
      </c>
      <c r="L157" s="42">
        <f t="shared" si="41"/>
        <v>0</v>
      </c>
    </row>
    <row r="158" spans="2:12" x14ac:dyDescent="0.2">
      <c r="B158" s="323" t="s">
        <v>11</v>
      </c>
      <c r="C158" s="324"/>
      <c r="D158" s="324"/>
      <c r="E158" s="325"/>
      <c r="F158" s="51">
        <f t="shared" ref="F158:L158" si="42">SUM(F155:F157)</f>
        <v>0</v>
      </c>
      <c r="G158" s="51">
        <f t="shared" si="42"/>
        <v>0</v>
      </c>
      <c r="H158" s="51">
        <f t="shared" si="42"/>
        <v>0</v>
      </c>
      <c r="I158" s="51">
        <f t="shared" si="42"/>
        <v>0</v>
      </c>
      <c r="J158" s="51">
        <f t="shared" si="42"/>
        <v>0</v>
      </c>
      <c r="K158" s="51">
        <f t="shared" si="42"/>
        <v>0</v>
      </c>
      <c r="L158" s="51">
        <f t="shared" si="42"/>
        <v>0</v>
      </c>
    </row>
    <row r="159" spans="2:12" x14ac:dyDescent="0.2">
      <c r="B159" s="326" t="s">
        <v>265</v>
      </c>
      <c r="C159" s="327"/>
      <c r="D159" s="327"/>
      <c r="E159" s="327"/>
      <c r="F159" s="327"/>
      <c r="G159" s="327"/>
      <c r="H159" s="327"/>
      <c r="I159" s="327"/>
      <c r="J159" s="327"/>
      <c r="K159" s="327"/>
      <c r="L159" s="328"/>
    </row>
    <row r="160" spans="2:12" x14ac:dyDescent="0.2">
      <c r="B160" s="338" t="s">
        <v>40</v>
      </c>
      <c r="C160" s="338"/>
      <c r="D160" s="19"/>
      <c r="E160" s="2"/>
      <c r="F160" s="52">
        <f>'COSTOS Y GASTOS'!E210</f>
        <v>0</v>
      </c>
      <c r="G160" s="42">
        <f t="shared" ref="G160:J178" si="43">+F160*(1+G$77)*G$76</f>
        <v>0</v>
      </c>
      <c r="H160" s="42">
        <f t="shared" si="43"/>
        <v>0</v>
      </c>
      <c r="I160" s="42">
        <f t="shared" si="43"/>
        <v>0</v>
      </c>
      <c r="J160" s="42">
        <f t="shared" si="43"/>
        <v>0</v>
      </c>
      <c r="K160" s="42">
        <f t="shared" ref="K160:K171" si="44">+J160*(1+K$77)*K$76</f>
        <v>0</v>
      </c>
      <c r="L160" s="42">
        <f t="shared" ref="L160:L171" si="45">+K160*(1+L$77)*L$76</f>
        <v>0</v>
      </c>
    </row>
    <row r="161" spans="2:12" x14ac:dyDescent="0.2">
      <c r="B161" s="338" t="s">
        <v>131</v>
      </c>
      <c r="C161" s="338"/>
      <c r="D161" s="19"/>
      <c r="E161" s="2"/>
      <c r="F161" s="52">
        <f>'COSTOS Y GASTOS'!E211</f>
        <v>0</v>
      </c>
      <c r="G161" s="42">
        <f t="shared" si="43"/>
        <v>0</v>
      </c>
      <c r="H161" s="42">
        <f t="shared" si="43"/>
        <v>0</v>
      </c>
      <c r="I161" s="42">
        <f t="shared" si="43"/>
        <v>0</v>
      </c>
      <c r="J161" s="42">
        <f t="shared" si="43"/>
        <v>0</v>
      </c>
      <c r="K161" s="42">
        <f t="shared" si="44"/>
        <v>0</v>
      </c>
      <c r="L161" s="42">
        <f t="shared" si="45"/>
        <v>0</v>
      </c>
    </row>
    <row r="162" spans="2:12" x14ac:dyDescent="0.2">
      <c r="B162" s="338" t="s">
        <v>49</v>
      </c>
      <c r="C162" s="338"/>
      <c r="D162" s="19"/>
      <c r="E162" s="2"/>
      <c r="F162" s="52">
        <f>'COSTOS Y GASTOS'!E212</f>
        <v>0</v>
      </c>
      <c r="G162" s="42">
        <f t="shared" si="43"/>
        <v>0</v>
      </c>
      <c r="H162" s="42">
        <f t="shared" si="43"/>
        <v>0</v>
      </c>
      <c r="I162" s="42">
        <f t="shared" si="43"/>
        <v>0</v>
      </c>
      <c r="J162" s="42">
        <f t="shared" si="43"/>
        <v>0</v>
      </c>
      <c r="K162" s="42">
        <f t="shared" si="44"/>
        <v>0</v>
      </c>
      <c r="L162" s="42">
        <f t="shared" si="45"/>
        <v>0</v>
      </c>
    </row>
    <row r="163" spans="2:12" x14ac:dyDescent="0.2">
      <c r="B163" s="338" t="s">
        <v>132</v>
      </c>
      <c r="C163" s="338"/>
      <c r="D163" s="19"/>
      <c r="E163" s="2"/>
      <c r="F163" s="52">
        <f>'COSTOS Y GASTOS'!E213</f>
        <v>0</v>
      </c>
      <c r="G163" s="42">
        <f t="shared" si="43"/>
        <v>0</v>
      </c>
      <c r="H163" s="42">
        <f t="shared" si="43"/>
        <v>0</v>
      </c>
      <c r="I163" s="42">
        <f t="shared" si="43"/>
        <v>0</v>
      </c>
      <c r="J163" s="42">
        <f t="shared" si="43"/>
        <v>0</v>
      </c>
      <c r="K163" s="42">
        <f t="shared" si="44"/>
        <v>0</v>
      </c>
      <c r="L163" s="42">
        <f t="shared" si="45"/>
        <v>0</v>
      </c>
    </row>
    <row r="164" spans="2:12" x14ac:dyDescent="0.2">
      <c r="B164" s="338" t="s">
        <v>133</v>
      </c>
      <c r="C164" s="338"/>
      <c r="D164" s="19"/>
      <c r="E164" s="2"/>
      <c r="F164" s="52">
        <f>'COSTOS Y GASTOS'!E214</f>
        <v>0</v>
      </c>
      <c r="G164" s="42">
        <f t="shared" si="43"/>
        <v>0</v>
      </c>
      <c r="H164" s="42">
        <f t="shared" si="43"/>
        <v>0</v>
      </c>
      <c r="I164" s="42">
        <f t="shared" si="43"/>
        <v>0</v>
      </c>
      <c r="J164" s="42">
        <f t="shared" si="43"/>
        <v>0</v>
      </c>
      <c r="K164" s="42">
        <f t="shared" si="44"/>
        <v>0</v>
      </c>
      <c r="L164" s="42">
        <f t="shared" si="45"/>
        <v>0</v>
      </c>
    </row>
    <row r="165" spans="2:12" x14ac:dyDescent="0.2">
      <c r="B165" s="338" t="s">
        <v>134</v>
      </c>
      <c r="C165" s="338"/>
      <c r="D165" s="19"/>
      <c r="E165" s="2"/>
      <c r="F165" s="52">
        <f>'COSTOS Y GASTOS'!E215</f>
        <v>0</v>
      </c>
      <c r="G165" s="42">
        <f t="shared" si="43"/>
        <v>0</v>
      </c>
      <c r="H165" s="42">
        <f t="shared" si="43"/>
        <v>0</v>
      </c>
      <c r="I165" s="42">
        <f t="shared" si="43"/>
        <v>0</v>
      </c>
      <c r="J165" s="42">
        <f t="shared" si="43"/>
        <v>0</v>
      </c>
      <c r="K165" s="42">
        <f t="shared" si="44"/>
        <v>0</v>
      </c>
      <c r="L165" s="42">
        <f t="shared" si="45"/>
        <v>0</v>
      </c>
    </row>
    <row r="166" spans="2:12" x14ac:dyDescent="0.2">
      <c r="B166" s="338" t="s">
        <v>37</v>
      </c>
      <c r="C166" s="338"/>
      <c r="D166" s="19"/>
      <c r="E166" s="2"/>
      <c r="F166" s="52">
        <f>'COSTOS Y GASTOS'!E216</f>
        <v>0</v>
      </c>
      <c r="G166" s="42">
        <f t="shared" si="43"/>
        <v>0</v>
      </c>
      <c r="H166" s="42">
        <f t="shared" si="43"/>
        <v>0</v>
      </c>
      <c r="I166" s="42">
        <f t="shared" si="43"/>
        <v>0</v>
      </c>
      <c r="J166" s="42">
        <f t="shared" si="43"/>
        <v>0</v>
      </c>
      <c r="K166" s="42">
        <f t="shared" si="44"/>
        <v>0</v>
      </c>
      <c r="L166" s="42">
        <f t="shared" si="45"/>
        <v>0</v>
      </c>
    </row>
    <row r="167" spans="2:12" x14ac:dyDescent="0.2">
      <c r="B167" s="338" t="s">
        <v>38</v>
      </c>
      <c r="C167" s="338"/>
      <c r="D167" s="19"/>
      <c r="E167" s="2"/>
      <c r="F167" s="52">
        <f>'COSTOS Y GASTOS'!E217</f>
        <v>0</v>
      </c>
      <c r="G167" s="42">
        <f t="shared" si="43"/>
        <v>0</v>
      </c>
      <c r="H167" s="42">
        <f t="shared" si="43"/>
        <v>0</v>
      </c>
      <c r="I167" s="42">
        <f t="shared" si="43"/>
        <v>0</v>
      </c>
      <c r="J167" s="42">
        <f t="shared" si="43"/>
        <v>0</v>
      </c>
      <c r="K167" s="42">
        <f t="shared" si="44"/>
        <v>0</v>
      </c>
      <c r="L167" s="42">
        <f t="shared" si="45"/>
        <v>0</v>
      </c>
    </row>
    <row r="168" spans="2:12" x14ac:dyDescent="0.2">
      <c r="B168" s="338" t="s">
        <v>39</v>
      </c>
      <c r="C168" s="338"/>
      <c r="D168" s="19"/>
      <c r="E168" s="2"/>
      <c r="F168" s="52">
        <f>'COSTOS Y GASTOS'!E218</f>
        <v>0</v>
      </c>
      <c r="G168" s="42">
        <f t="shared" si="43"/>
        <v>0</v>
      </c>
      <c r="H168" s="42">
        <f t="shared" si="43"/>
        <v>0</v>
      </c>
      <c r="I168" s="42">
        <f t="shared" si="43"/>
        <v>0</v>
      </c>
      <c r="J168" s="42">
        <f t="shared" si="43"/>
        <v>0</v>
      </c>
      <c r="K168" s="42">
        <f t="shared" si="44"/>
        <v>0</v>
      </c>
      <c r="L168" s="42">
        <f t="shared" si="45"/>
        <v>0</v>
      </c>
    </row>
    <row r="169" spans="2:12" x14ac:dyDescent="0.2">
      <c r="B169" s="338" t="s">
        <v>41</v>
      </c>
      <c r="C169" s="338"/>
      <c r="D169" s="19"/>
      <c r="E169" s="2"/>
      <c r="F169" s="52">
        <f>'COSTOS Y GASTOS'!E219</f>
        <v>0</v>
      </c>
      <c r="G169" s="42">
        <f t="shared" si="43"/>
        <v>0</v>
      </c>
      <c r="H169" s="42">
        <f t="shared" si="43"/>
        <v>0</v>
      </c>
      <c r="I169" s="42">
        <f t="shared" si="43"/>
        <v>0</v>
      </c>
      <c r="J169" s="42">
        <f t="shared" si="43"/>
        <v>0</v>
      </c>
      <c r="K169" s="42">
        <f t="shared" si="44"/>
        <v>0</v>
      </c>
      <c r="L169" s="42">
        <f t="shared" si="45"/>
        <v>0</v>
      </c>
    </row>
    <row r="170" spans="2:12" x14ac:dyDescent="0.2">
      <c r="B170" s="338" t="s">
        <v>42</v>
      </c>
      <c r="C170" s="338"/>
      <c r="D170" s="19"/>
      <c r="E170" s="2"/>
      <c r="F170" s="52">
        <f>'COSTOS Y GASTOS'!E220</f>
        <v>0</v>
      </c>
      <c r="G170" s="42">
        <f t="shared" si="43"/>
        <v>0</v>
      </c>
      <c r="H170" s="42">
        <f t="shared" si="43"/>
        <v>0</v>
      </c>
      <c r="I170" s="42">
        <f t="shared" si="43"/>
        <v>0</v>
      </c>
      <c r="J170" s="42">
        <f t="shared" si="43"/>
        <v>0</v>
      </c>
      <c r="K170" s="42">
        <f t="shared" si="44"/>
        <v>0</v>
      </c>
      <c r="L170" s="42">
        <f t="shared" si="45"/>
        <v>0</v>
      </c>
    </row>
    <row r="171" spans="2:12" x14ac:dyDescent="0.2">
      <c r="B171" s="338" t="s">
        <v>43</v>
      </c>
      <c r="C171" s="338"/>
      <c r="D171" s="19"/>
      <c r="E171" s="2"/>
      <c r="F171" s="52">
        <f>'COSTOS Y GASTOS'!E221</f>
        <v>0</v>
      </c>
      <c r="G171" s="42">
        <f t="shared" si="43"/>
        <v>0</v>
      </c>
      <c r="H171" s="42">
        <f t="shared" si="43"/>
        <v>0</v>
      </c>
      <c r="I171" s="42">
        <f t="shared" si="43"/>
        <v>0</v>
      </c>
      <c r="J171" s="42">
        <f t="shared" si="43"/>
        <v>0</v>
      </c>
      <c r="K171" s="42">
        <f t="shared" si="44"/>
        <v>0</v>
      </c>
      <c r="L171" s="42">
        <f t="shared" si="45"/>
        <v>0</v>
      </c>
    </row>
    <row r="172" spans="2:12" x14ac:dyDescent="0.2">
      <c r="B172" s="338" t="s">
        <v>44</v>
      </c>
      <c r="C172" s="338"/>
      <c r="D172" s="19"/>
      <c r="E172" s="2"/>
      <c r="F172" s="52">
        <f>'COSTOS Y GASTOS'!$E$222</f>
        <v>0</v>
      </c>
      <c r="G172" s="42">
        <f>SUM(INGRESOS!D$54:E$54)*'COSTOS Y GASTOS'!$D$222*(1+CONSOLIDADO!$G$77)</f>
        <v>0</v>
      </c>
      <c r="H172" s="42">
        <f>SUM(INGRESOS!F$54:G$54)*'COSTOS Y GASTOS'!$D$222*(1+CONSOLIDADO!$G$77)^2</f>
        <v>0</v>
      </c>
      <c r="I172" s="42">
        <f>SUM(INGRESOS!H$54:I$54)*'COSTOS Y GASTOS'!$D$222*(1+CONSOLIDADO!$G$77)^3</f>
        <v>0</v>
      </c>
      <c r="J172" s="42">
        <f>SUM(INGRESOS!J$54:K$54)*'COSTOS Y GASTOS'!$D$222*(1+CONSOLIDADO!$G$77)^4</f>
        <v>0</v>
      </c>
      <c r="K172" s="42">
        <f>SUM(INGRESOS!K$54:L$54)*'COSTOS Y GASTOS'!$D$222*(1+CONSOLIDADO!$G$77)^4</f>
        <v>0</v>
      </c>
      <c r="L172" s="42">
        <f>SUM(INGRESOS!L$54:M$54)*'COSTOS Y GASTOS'!$D$222*(1+CONSOLIDADO!$G$77)^4</f>
        <v>0</v>
      </c>
    </row>
    <row r="173" spans="2:12" x14ac:dyDescent="0.2">
      <c r="B173" s="338" t="s">
        <v>45</v>
      </c>
      <c r="C173" s="338"/>
      <c r="D173" s="19"/>
      <c r="E173" s="2"/>
      <c r="F173" s="52">
        <f>'COSTOS Y GASTOS'!E223</f>
        <v>0</v>
      </c>
      <c r="G173" s="42">
        <f t="shared" ref="G173:L174" si="46">+F173*(1+G$77)*G$76</f>
        <v>0</v>
      </c>
      <c r="H173" s="42">
        <f t="shared" si="46"/>
        <v>0</v>
      </c>
      <c r="I173" s="42">
        <f t="shared" si="46"/>
        <v>0</v>
      </c>
      <c r="J173" s="42">
        <f t="shared" si="46"/>
        <v>0</v>
      </c>
      <c r="K173" s="42">
        <f t="shared" si="46"/>
        <v>0</v>
      </c>
      <c r="L173" s="42">
        <f t="shared" si="46"/>
        <v>0</v>
      </c>
    </row>
    <row r="174" spans="2:12" x14ac:dyDescent="0.2">
      <c r="B174" s="338" t="s">
        <v>46</v>
      </c>
      <c r="C174" s="338"/>
      <c r="D174" s="19"/>
      <c r="E174" s="2"/>
      <c r="F174" s="52">
        <f>'COSTOS Y GASTOS'!E224</f>
        <v>0</v>
      </c>
      <c r="G174" s="42">
        <f t="shared" si="46"/>
        <v>0</v>
      </c>
      <c r="H174" s="42">
        <f t="shared" si="46"/>
        <v>0</v>
      </c>
      <c r="I174" s="42">
        <f t="shared" si="46"/>
        <v>0</v>
      </c>
      <c r="J174" s="42">
        <f t="shared" si="46"/>
        <v>0</v>
      </c>
      <c r="K174" s="42">
        <f t="shared" si="46"/>
        <v>0</v>
      </c>
      <c r="L174" s="42">
        <f t="shared" si="46"/>
        <v>0</v>
      </c>
    </row>
    <row r="175" spans="2:12" x14ac:dyDescent="0.2">
      <c r="B175" s="338" t="s">
        <v>47</v>
      </c>
      <c r="C175" s="338"/>
      <c r="D175" s="19"/>
      <c r="E175" s="2"/>
      <c r="F175" s="52">
        <f>'COSTOS Y GASTOS'!E225</f>
        <v>0</v>
      </c>
      <c r="G175" s="42">
        <f>SUM(INGRESOS!D$47:E$47)*'COSTOS Y GASTOS'!$D$225*(1+CONSOLIDADO!$G$77)</f>
        <v>0</v>
      </c>
      <c r="H175" s="42">
        <f>SUM(INGRESOS!F$47:G$47)*'COSTOS Y GASTOS'!$D$225*(1+CONSOLIDADO!$G$77)^2</f>
        <v>0</v>
      </c>
      <c r="I175" s="42">
        <f>SUM(INGRESOS!H$47:I$47)*'COSTOS Y GASTOS'!$D$225*(1+CONSOLIDADO!$G$77)^3</f>
        <v>0</v>
      </c>
      <c r="J175" s="42">
        <f>SUM(INGRESOS!J$47:K$47)*'COSTOS Y GASTOS'!$D$225*(1+CONSOLIDADO!$G$77)^4</f>
        <v>0</v>
      </c>
      <c r="K175" s="42">
        <f>SUM(INGRESOS!K$47:L$47)*'COSTOS Y GASTOS'!$D$225*(1+CONSOLIDADO!$G$77)^4</f>
        <v>0</v>
      </c>
      <c r="L175" s="42">
        <f>SUM(INGRESOS!L$47:M$47)*'COSTOS Y GASTOS'!$D$225*(1+CONSOLIDADO!$G$77)^4</f>
        <v>0</v>
      </c>
    </row>
    <row r="176" spans="2:12" x14ac:dyDescent="0.2">
      <c r="B176" s="338" t="s">
        <v>35</v>
      </c>
      <c r="C176" s="338"/>
      <c r="D176" s="19"/>
      <c r="E176" s="2"/>
      <c r="F176" s="52">
        <f>'COSTOS Y GASTOS'!E226</f>
        <v>0</v>
      </c>
      <c r="G176" s="42">
        <f t="shared" si="43"/>
        <v>0</v>
      </c>
      <c r="H176" s="42">
        <f t="shared" si="43"/>
        <v>0</v>
      </c>
      <c r="I176" s="42">
        <f t="shared" si="43"/>
        <v>0</v>
      </c>
      <c r="J176" s="42">
        <f t="shared" si="43"/>
        <v>0</v>
      </c>
      <c r="K176" s="42">
        <f t="shared" ref="K176:L178" si="47">+J176*(1+K$77)*K$76</f>
        <v>0</v>
      </c>
      <c r="L176" s="42">
        <f t="shared" si="47"/>
        <v>0</v>
      </c>
    </row>
    <row r="177" spans="2:16" x14ac:dyDescent="0.2">
      <c r="B177" s="338" t="s">
        <v>48</v>
      </c>
      <c r="C177" s="338"/>
      <c r="D177" s="19"/>
      <c r="E177" s="2"/>
      <c r="F177" s="52">
        <f>'COSTOS Y GASTOS'!E227</f>
        <v>0</v>
      </c>
      <c r="G177" s="42">
        <f t="shared" si="43"/>
        <v>0</v>
      </c>
      <c r="H177" s="42">
        <f t="shared" si="43"/>
        <v>0</v>
      </c>
      <c r="I177" s="42">
        <f t="shared" si="43"/>
        <v>0</v>
      </c>
      <c r="J177" s="42">
        <f t="shared" si="43"/>
        <v>0</v>
      </c>
      <c r="K177" s="42">
        <f t="shared" si="47"/>
        <v>0</v>
      </c>
      <c r="L177" s="42">
        <f t="shared" si="47"/>
        <v>0</v>
      </c>
    </row>
    <row r="178" spans="2:16" x14ac:dyDescent="0.2">
      <c r="B178" s="338" t="s">
        <v>50</v>
      </c>
      <c r="C178" s="338"/>
      <c r="D178" s="19"/>
      <c r="E178" s="2"/>
      <c r="F178" s="52">
        <f>'COSTOS Y GASTOS'!E228</f>
        <v>0</v>
      </c>
      <c r="G178" s="42">
        <f t="shared" si="43"/>
        <v>0</v>
      </c>
      <c r="H178" s="42">
        <f t="shared" si="43"/>
        <v>0</v>
      </c>
      <c r="I178" s="42">
        <f t="shared" si="43"/>
        <v>0</v>
      </c>
      <c r="J178" s="42">
        <f t="shared" si="43"/>
        <v>0</v>
      </c>
      <c r="K178" s="42">
        <f t="shared" si="47"/>
        <v>0</v>
      </c>
      <c r="L178" s="42">
        <f t="shared" si="47"/>
        <v>0</v>
      </c>
    </row>
    <row r="179" spans="2:16" x14ac:dyDescent="0.2">
      <c r="B179" s="323" t="s">
        <v>11</v>
      </c>
      <c r="C179" s="324"/>
      <c r="D179" s="324"/>
      <c r="E179" s="325"/>
      <c r="F179" s="51">
        <f t="shared" ref="F179:L179" si="48">SUM(F160:F178)</f>
        <v>0</v>
      </c>
      <c r="G179" s="51">
        <f t="shared" si="48"/>
        <v>0</v>
      </c>
      <c r="H179" s="51">
        <f t="shared" si="48"/>
        <v>0</v>
      </c>
      <c r="I179" s="51">
        <f t="shared" si="48"/>
        <v>0</v>
      </c>
      <c r="J179" s="51">
        <f t="shared" si="48"/>
        <v>0</v>
      </c>
      <c r="K179" s="51">
        <f t="shared" si="48"/>
        <v>0</v>
      </c>
      <c r="L179" s="51">
        <f t="shared" si="48"/>
        <v>0</v>
      </c>
    </row>
    <row r="180" spans="2:16" ht="15" x14ac:dyDescent="0.25">
      <c r="B180" s="326" t="s">
        <v>442</v>
      </c>
      <c r="C180" s="327"/>
      <c r="D180" s="327"/>
      <c r="E180" s="327"/>
      <c r="F180" s="327"/>
      <c r="G180" s="327"/>
      <c r="H180" s="327"/>
      <c r="I180" s="327"/>
      <c r="J180" s="327"/>
      <c r="K180" s="327"/>
      <c r="L180" s="328"/>
      <c r="N180"/>
      <c r="O180"/>
      <c r="P180"/>
    </row>
    <row r="181" spans="2:16" ht="15" x14ac:dyDescent="0.25">
      <c r="B181" s="364" t="s">
        <v>51</v>
      </c>
      <c r="C181" s="364"/>
      <c r="D181" s="19"/>
      <c r="E181" s="41">
        <v>0.05</v>
      </c>
      <c r="F181" s="52">
        <f t="shared" ref="F181:L183" si="49">F$73*$E181</f>
        <v>0</v>
      </c>
      <c r="G181" s="52">
        <f t="shared" si="49"/>
        <v>0</v>
      </c>
      <c r="H181" s="52">
        <f t="shared" si="49"/>
        <v>0</v>
      </c>
      <c r="I181" s="52">
        <f t="shared" si="49"/>
        <v>0</v>
      </c>
      <c r="J181" s="52">
        <f t="shared" si="49"/>
        <v>0</v>
      </c>
      <c r="K181" s="52">
        <f t="shared" si="49"/>
        <v>0</v>
      </c>
      <c r="L181" s="52">
        <f t="shared" si="49"/>
        <v>0</v>
      </c>
      <c r="N181"/>
      <c r="O181"/>
      <c r="P181"/>
    </row>
    <row r="182" spans="2:16" ht="15" x14ac:dyDescent="0.25">
      <c r="B182" s="338" t="s">
        <v>52</v>
      </c>
      <c r="C182" s="338"/>
      <c r="D182" s="19"/>
      <c r="E182" s="41">
        <v>0.02</v>
      </c>
      <c r="F182" s="52">
        <f t="shared" si="49"/>
        <v>0</v>
      </c>
      <c r="G182" s="52">
        <f t="shared" si="49"/>
        <v>0</v>
      </c>
      <c r="H182" s="52">
        <f t="shared" si="49"/>
        <v>0</v>
      </c>
      <c r="I182" s="52">
        <f t="shared" si="49"/>
        <v>0</v>
      </c>
      <c r="J182" s="52">
        <f t="shared" si="49"/>
        <v>0</v>
      </c>
      <c r="K182" s="52">
        <f t="shared" si="49"/>
        <v>0</v>
      </c>
      <c r="L182" s="52">
        <f t="shared" si="49"/>
        <v>0</v>
      </c>
      <c r="N182"/>
      <c r="O182"/>
      <c r="P182"/>
    </row>
    <row r="183" spans="2:16" ht="15" x14ac:dyDescent="0.25">
      <c r="B183" s="338" t="s">
        <v>53</v>
      </c>
      <c r="C183" s="338"/>
      <c r="D183" s="19"/>
      <c r="E183" s="41">
        <v>0.02</v>
      </c>
      <c r="F183" s="52">
        <f t="shared" si="49"/>
        <v>0</v>
      </c>
      <c r="G183" s="52">
        <f t="shared" si="49"/>
        <v>0</v>
      </c>
      <c r="H183" s="52">
        <f t="shared" si="49"/>
        <v>0</v>
      </c>
      <c r="I183" s="52">
        <f t="shared" si="49"/>
        <v>0</v>
      </c>
      <c r="J183" s="52">
        <f t="shared" si="49"/>
        <v>0</v>
      </c>
      <c r="K183" s="52">
        <f t="shared" si="49"/>
        <v>0</v>
      </c>
      <c r="L183" s="52">
        <f t="shared" si="49"/>
        <v>0</v>
      </c>
      <c r="N183"/>
      <c r="O183"/>
      <c r="P183"/>
    </row>
    <row r="184" spans="2:16" ht="15" x14ac:dyDescent="0.25">
      <c r="B184" s="323" t="s">
        <v>11</v>
      </c>
      <c r="C184" s="324"/>
      <c r="D184" s="324"/>
      <c r="E184" s="325"/>
      <c r="F184" s="51">
        <f t="shared" ref="F184:L184" si="50">SUM(F181:F183)</f>
        <v>0</v>
      </c>
      <c r="G184" s="51">
        <f t="shared" si="50"/>
        <v>0</v>
      </c>
      <c r="H184" s="51">
        <f t="shared" si="50"/>
        <v>0</v>
      </c>
      <c r="I184" s="51">
        <f t="shared" si="50"/>
        <v>0</v>
      </c>
      <c r="J184" s="51">
        <f t="shared" si="50"/>
        <v>0</v>
      </c>
      <c r="K184" s="51">
        <f t="shared" si="50"/>
        <v>0</v>
      </c>
      <c r="L184" s="51">
        <f t="shared" si="50"/>
        <v>0</v>
      </c>
      <c r="N184"/>
      <c r="O184"/>
      <c r="P184"/>
    </row>
    <row r="185" spans="2:16" ht="15" x14ac:dyDescent="0.25">
      <c r="B185" s="326" t="s">
        <v>443</v>
      </c>
      <c r="C185" s="327"/>
      <c r="D185" s="327"/>
      <c r="E185" s="327"/>
      <c r="F185" s="327"/>
      <c r="G185" s="327"/>
      <c r="H185" s="327"/>
      <c r="I185" s="327"/>
      <c r="J185" s="327"/>
      <c r="K185" s="327"/>
      <c r="L185" s="328"/>
      <c r="N185"/>
      <c r="O185"/>
      <c r="P185"/>
    </row>
    <row r="186" spans="2:16" ht="33" customHeight="1" x14ac:dyDescent="0.25">
      <c r="B186" s="363" t="str">
        <f>+B185</f>
        <v>APOYO ACADÉMICO, ADMINISTRATIVO Y PLANTA FÍSICA</v>
      </c>
      <c r="C186" s="363"/>
      <c r="D186" s="67"/>
      <c r="E186" s="16">
        <f>IF(INGRESOS!A7=INGRESOS!A105,INGRESOS!B105,IF(INGRESOS!A7=INGRESOS!A106,INGRESOS!B106,IF(INGRESOS!A7=INGRESOS!A107,INGRESOS!B107,IF(INGRESOS!A7=INGRESOS!A108,INGRESOS!B108,IF(INGRESOS!A7=INGRESOS!A109,INGRESOS!B109,IF(INGRESOS!A7=INGRESOS!A110,INGRESOS!B110,0))))))</f>
        <v>0.35</v>
      </c>
      <c r="F186" s="52">
        <f t="shared" ref="F186:L186" si="51">F$73*$E186</f>
        <v>0</v>
      </c>
      <c r="G186" s="52">
        <f t="shared" si="51"/>
        <v>0</v>
      </c>
      <c r="H186" s="52">
        <f t="shared" si="51"/>
        <v>0</v>
      </c>
      <c r="I186" s="52">
        <f t="shared" si="51"/>
        <v>0</v>
      </c>
      <c r="J186" s="52">
        <f t="shared" si="51"/>
        <v>0</v>
      </c>
      <c r="K186" s="52">
        <f t="shared" si="51"/>
        <v>0</v>
      </c>
      <c r="L186" s="52">
        <f t="shared" si="51"/>
        <v>0</v>
      </c>
      <c r="N186"/>
      <c r="O186"/>
      <c r="P186"/>
    </row>
    <row r="187" spans="2:16" ht="15" x14ac:dyDescent="0.25">
      <c r="B187" s="323" t="s">
        <v>11</v>
      </c>
      <c r="C187" s="324"/>
      <c r="D187" s="324"/>
      <c r="E187" s="325"/>
      <c r="F187" s="51">
        <f t="shared" ref="F187:L187" si="52">SUM(F186)</f>
        <v>0</v>
      </c>
      <c r="G187" s="51">
        <f t="shared" si="52"/>
        <v>0</v>
      </c>
      <c r="H187" s="51">
        <f t="shared" si="52"/>
        <v>0</v>
      </c>
      <c r="I187" s="51">
        <f t="shared" si="52"/>
        <v>0</v>
      </c>
      <c r="J187" s="51">
        <f t="shared" si="52"/>
        <v>0</v>
      </c>
      <c r="K187" s="51">
        <f t="shared" si="52"/>
        <v>0</v>
      </c>
      <c r="L187" s="51">
        <f t="shared" si="52"/>
        <v>0</v>
      </c>
      <c r="N187"/>
      <c r="O187"/>
      <c r="P187"/>
    </row>
    <row r="188" spans="2:16" s="61" customFormat="1" ht="7.5" customHeight="1" x14ac:dyDescent="0.25">
      <c r="N188"/>
      <c r="O188"/>
      <c r="P188"/>
    </row>
    <row r="189" spans="2:16" ht="15.75" x14ac:dyDescent="0.25">
      <c r="B189"/>
      <c r="C189" s="340" t="s">
        <v>54</v>
      </c>
      <c r="D189" s="341"/>
      <c r="E189" s="342"/>
      <c r="F189" s="57">
        <f t="shared" ref="F189:L189" si="53">+F93+F98+F113+F119+F125+F138+F143+F153+F109+F179+F187+F184+F158</f>
        <v>21010860</v>
      </c>
      <c r="G189" s="57">
        <f t="shared" si="53"/>
        <v>0</v>
      </c>
      <c r="H189" s="57">
        <f t="shared" si="53"/>
        <v>0</v>
      </c>
      <c r="I189" s="57">
        <f t="shared" si="53"/>
        <v>0</v>
      </c>
      <c r="J189" s="57">
        <f t="shared" si="53"/>
        <v>0</v>
      </c>
      <c r="K189" s="57">
        <f t="shared" si="53"/>
        <v>0</v>
      </c>
      <c r="L189" s="57">
        <f t="shared" si="53"/>
        <v>0</v>
      </c>
      <c r="N189"/>
      <c r="O189"/>
      <c r="P189"/>
    </row>
    <row r="190" spans="2:16" ht="8.25" customHeight="1" x14ac:dyDescent="0.25">
      <c r="B190"/>
      <c r="C190" s="53"/>
      <c r="D190" s="54"/>
      <c r="E190" s="55"/>
      <c r="F190" s="56"/>
      <c r="G190" s="56"/>
      <c r="H190" s="56"/>
      <c r="I190" s="56"/>
      <c r="J190" s="56"/>
      <c r="K190" s="56"/>
      <c r="L190" s="61"/>
      <c r="N190"/>
      <c r="O190"/>
      <c r="P190"/>
    </row>
    <row r="191" spans="2:16" ht="15.75" x14ac:dyDescent="0.25">
      <c r="B191"/>
      <c r="C191" s="340" t="s">
        <v>55</v>
      </c>
      <c r="D191" s="341"/>
      <c r="E191" s="342"/>
      <c r="F191" s="57">
        <f t="shared" ref="F191:L191" si="54">F73-F189</f>
        <v>-21010860</v>
      </c>
      <c r="G191" s="57">
        <f t="shared" si="54"/>
        <v>0</v>
      </c>
      <c r="H191" s="57">
        <f t="shared" si="54"/>
        <v>0</v>
      </c>
      <c r="I191" s="57">
        <f t="shared" si="54"/>
        <v>0</v>
      </c>
      <c r="J191" s="57">
        <f t="shared" si="54"/>
        <v>0</v>
      </c>
      <c r="K191" s="57">
        <f t="shared" si="54"/>
        <v>0</v>
      </c>
      <c r="L191" s="57">
        <f t="shared" si="54"/>
        <v>0</v>
      </c>
      <c r="N191"/>
      <c r="O191"/>
      <c r="P191"/>
    </row>
    <row r="192" spans="2:16" ht="9" customHeight="1" x14ac:dyDescent="0.25">
      <c r="B192" s="37"/>
      <c r="C192" s="12"/>
      <c r="D192" s="24"/>
      <c r="E192" s="13"/>
      <c r="F192" s="14"/>
      <c r="L192" s="61"/>
      <c r="N192"/>
      <c r="O192"/>
      <c r="P192"/>
    </row>
    <row r="193" spans="2:16" ht="13.5" customHeight="1" x14ac:dyDescent="0.25">
      <c r="B193" s="37"/>
      <c r="C193" s="343" t="s">
        <v>413</v>
      </c>
      <c r="D193" s="343"/>
      <c r="E193" s="343"/>
      <c r="F193" s="52">
        <f>'Adquisición Infraestructura'!F29</f>
        <v>0</v>
      </c>
      <c r="G193" s="52">
        <f>'Adquisición Infraestructura'!G29</f>
        <v>0</v>
      </c>
      <c r="H193" s="52">
        <f>'Adquisición Infraestructura'!H29</f>
        <v>0</v>
      </c>
      <c r="I193" s="52">
        <f>'Adquisición Infraestructura'!I29</f>
        <v>0</v>
      </c>
      <c r="J193" s="52">
        <f>'Adquisición Infraestructura'!J29</f>
        <v>0</v>
      </c>
      <c r="K193" s="52">
        <f>'Adquisición Infraestructura'!K29</f>
        <v>0</v>
      </c>
      <c r="L193" s="52">
        <f>'Adquisición Infraestructura'!L29</f>
        <v>0</v>
      </c>
      <c r="N193"/>
      <c r="O193"/>
      <c r="P193"/>
    </row>
    <row r="194" spans="2:16" ht="13.5" customHeight="1" x14ac:dyDescent="0.25">
      <c r="B194" s="37"/>
      <c r="C194" s="343" t="s">
        <v>414</v>
      </c>
      <c r="D194" s="343"/>
      <c r="E194" s="343"/>
      <c r="F194" s="52">
        <f>'Adquisición Medios'!F23</f>
        <v>0</v>
      </c>
      <c r="G194" s="52">
        <f>'Adquisición Medios'!G23</f>
        <v>0</v>
      </c>
      <c r="H194" s="52">
        <f>'Adquisición Medios'!H23</f>
        <v>0</v>
      </c>
      <c r="I194" s="52">
        <f>'Adquisición Medios'!I23</f>
        <v>0</v>
      </c>
      <c r="J194" s="52">
        <f>'Adquisición Medios'!J23</f>
        <v>0</v>
      </c>
      <c r="K194" s="52">
        <f>'Adquisición Medios'!K23</f>
        <v>0</v>
      </c>
      <c r="L194" s="52">
        <f>'Adquisición Medios'!L23</f>
        <v>0</v>
      </c>
      <c r="N194"/>
      <c r="O194"/>
      <c r="P194"/>
    </row>
    <row r="195" spans="2:16" ht="15.75" x14ac:dyDescent="0.25">
      <c r="C195" s="362" t="s">
        <v>415</v>
      </c>
      <c r="D195" s="362"/>
      <c r="E195" s="362"/>
      <c r="F195" s="57">
        <f>SUM(F193:F194)</f>
        <v>0</v>
      </c>
      <c r="G195" s="57">
        <f t="shared" ref="G195:L195" si="55">SUM(G193:G194)</f>
        <v>0</v>
      </c>
      <c r="H195" s="57">
        <f t="shared" si="55"/>
        <v>0</v>
      </c>
      <c r="I195" s="57">
        <f t="shared" si="55"/>
        <v>0</v>
      </c>
      <c r="J195" s="57">
        <f t="shared" si="55"/>
        <v>0</v>
      </c>
      <c r="K195" s="57">
        <f t="shared" si="55"/>
        <v>0</v>
      </c>
      <c r="L195" s="57">
        <f t="shared" si="55"/>
        <v>0</v>
      </c>
      <c r="N195"/>
      <c r="O195"/>
      <c r="P195"/>
    </row>
    <row r="196" spans="2:16" ht="10.5" customHeight="1" x14ac:dyDescent="0.25">
      <c r="N196"/>
      <c r="O196"/>
      <c r="P196"/>
    </row>
    <row r="197" spans="2:16" ht="15" x14ac:dyDescent="0.25">
      <c r="N197"/>
      <c r="O197"/>
      <c r="P197"/>
    </row>
  </sheetData>
  <mergeCells count="187">
    <mergeCell ref="C195:E195"/>
    <mergeCell ref="B186:C186"/>
    <mergeCell ref="B182:C182"/>
    <mergeCell ref="B181:C181"/>
    <mergeCell ref="B183:C183"/>
    <mergeCell ref="B173:C173"/>
    <mergeCell ref="B175:C175"/>
    <mergeCell ref="B174:C174"/>
    <mergeCell ref="B93:E93"/>
    <mergeCell ref="B94:L94"/>
    <mergeCell ref="B98:E98"/>
    <mergeCell ref="B99:L99"/>
    <mergeCell ref="B104:L104"/>
    <mergeCell ref="B109:E109"/>
    <mergeCell ref="B100:C100"/>
    <mergeCell ref="B95:C95"/>
    <mergeCell ref="B96:C96"/>
    <mergeCell ref="B97:C97"/>
    <mergeCell ref="B160:C160"/>
    <mergeCell ref="B164:C164"/>
    <mergeCell ref="B166:C166"/>
    <mergeCell ref="B170:C170"/>
    <mergeCell ref="B171:C171"/>
    <mergeCell ref="B158:E158"/>
    <mergeCell ref="B159:L159"/>
    <mergeCell ref="B11:E11"/>
    <mergeCell ref="B85:L85"/>
    <mergeCell ref="B81:L81"/>
    <mergeCell ref="B38:L38"/>
    <mergeCell ref="B46:L46"/>
    <mergeCell ref="B54:L54"/>
    <mergeCell ref="B62:L62"/>
    <mergeCell ref="B65:L65"/>
    <mergeCell ref="B73:E73"/>
    <mergeCell ref="B88:C88"/>
    <mergeCell ref="B90:C90"/>
    <mergeCell ref="B92:C92"/>
    <mergeCell ref="B86:C86"/>
    <mergeCell ref="B89:C89"/>
    <mergeCell ref="B87:C87"/>
    <mergeCell ref="B91:C91"/>
    <mergeCell ref="B71:C71"/>
    <mergeCell ref="B156:C156"/>
    <mergeCell ref="B157:C157"/>
    <mergeCell ref="B155:C155"/>
    <mergeCell ref="B152:C152"/>
    <mergeCell ref="B151:C151"/>
    <mergeCell ref="B149:C149"/>
    <mergeCell ref="B178:C178"/>
    <mergeCell ref="B177:C177"/>
    <mergeCell ref="B167:C167"/>
    <mergeCell ref="B172:C172"/>
    <mergeCell ref="B176:C176"/>
    <mergeCell ref="B169:C169"/>
    <mergeCell ref="B161:C161"/>
    <mergeCell ref="B163:C163"/>
    <mergeCell ref="B165:C165"/>
    <mergeCell ref="B168:C168"/>
    <mergeCell ref="B162:C162"/>
    <mergeCell ref="B147:C147"/>
    <mergeCell ref="B153:E153"/>
    <mergeCell ref="B154:L154"/>
    <mergeCell ref="B125:E125"/>
    <mergeCell ref="B126:L126"/>
    <mergeCell ref="B145:C145"/>
    <mergeCell ref="B142:C142"/>
    <mergeCell ref="B148:C148"/>
    <mergeCell ref="B150:C150"/>
    <mergeCell ref="B146:C146"/>
    <mergeCell ref="B136:C136"/>
    <mergeCell ref="B137:C137"/>
    <mergeCell ref="B141:C141"/>
    <mergeCell ref="B140:C140"/>
    <mergeCell ref="B138:E138"/>
    <mergeCell ref="B139:L139"/>
    <mergeCell ref="B143:E143"/>
    <mergeCell ref="B144:L144"/>
    <mergeCell ref="B131:C131"/>
    <mergeCell ref="B135:C135"/>
    <mergeCell ref="B133:C133"/>
    <mergeCell ref="B128:C128"/>
    <mergeCell ref="B129:C129"/>
    <mergeCell ref="B134:C134"/>
    <mergeCell ref="B130:C130"/>
    <mergeCell ref="B127:C127"/>
    <mergeCell ref="B132:C132"/>
    <mergeCell ref="B113:E113"/>
    <mergeCell ref="B114:L114"/>
    <mergeCell ref="B122:C122"/>
    <mergeCell ref="B124:C124"/>
    <mergeCell ref="B123:C123"/>
    <mergeCell ref="B121:C121"/>
    <mergeCell ref="B116:C116"/>
    <mergeCell ref="B117:C117"/>
    <mergeCell ref="B118:C118"/>
    <mergeCell ref="B115:C115"/>
    <mergeCell ref="B119:E119"/>
    <mergeCell ref="B120:L120"/>
    <mergeCell ref="B112:C112"/>
    <mergeCell ref="B106:C106"/>
    <mergeCell ref="B108:C108"/>
    <mergeCell ref="B107:C107"/>
    <mergeCell ref="B105:C105"/>
    <mergeCell ref="B101:C101"/>
    <mergeCell ref="B103:C103"/>
    <mergeCell ref="B102:C102"/>
    <mergeCell ref="B111:C111"/>
    <mergeCell ref="B110:L110"/>
    <mergeCell ref="B83:C83"/>
    <mergeCell ref="B84:C84"/>
    <mergeCell ref="B82:C82"/>
    <mergeCell ref="B68:C68"/>
    <mergeCell ref="B70:C70"/>
    <mergeCell ref="B69:C69"/>
    <mergeCell ref="B67:C67"/>
    <mergeCell ref="B66:C66"/>
    <mergeCell ref="B48:C48"/>
    <mergeCell ref="B51:C51"/>
    <mergeCell ref="B53:C53"/>
    <mergeCell ref="B63:C63"/>
    <mergeCell ref="B64:C64"/>
    <mergeCell ref="B58:C58"/>
    <mergeCell ref="B56:C56"/>
    <mergeCell ref="B60:C60"/>
    <mergeCell ref="B57:C57"/>
    <mergeCell ref="B55:C55"/>
    <mergeCell ref="B59:C59"/>
    <mergeCell ref="B61:C61"/>
    <mergeCell ref="B39:C39"/>
    <mergeCell ref="B42:C42"/>
    <mergeCell ref="B44:C44"/>
    <mergeCell ref="B41:C41"/>
    <mergeCell ref="B40:C40"/>
    <mergeCell ref="B43:C43"/>
    <mergeCell ref="B45:C45"/>
    <mergeCell ref="B50:C50"/>
    <mergeCell ref="B52:C52"/>
    <mergeCell ref="B47:C47"/>
    <mergeCell ref="B49:C49"/>
    <mergeCell ref="B187:E187"/>
    <mergeCell ref="C189:E189"/>
    <mergeCell ref="C191:E191"/>
    <mergeCell ref="C193:E193"/>
    <mergeCell ref="C194:E194"/>
    <mergeCell ref="P7:P9"/>
    <mergeCell ref="B13:L13"/>
    <mergeCell ref="B79:L79"/>
    <mergeCell ref="J7:K7"/>
    <mergeCell ref="J9:K9"/>
    <mergeCell ref="B15:C15"/>
    <mergeCell ref="B16:C16"/>
    <mergeCell ref="B17:C17"/>
    <mergeCell ref="B18:C18"/>
    <mergeCell ref="B19:C19"/>
    <mergeCell ref="B26:C26"/>
    <mergeCell ref="B27:C27"/>
    <mergeCell ref="B28:C28"/>
    <mergeCell ref="B29:C29"/>
    <mergeCell ref="B20:C20"/>
    <mergeCell ref="B21:C21"/>
    <mergeCell ref="B23:C23"/>
    <mergeCell ref="B24:C24"/>
    <mergeCell ref="B37:C37"/>
    <mergeCell ref="K2:L2"/>
    <mergeCell ref="K3:L3"/>
    <mergeCell ref="K4:L4"/>
    <mergeCell ref="D2:J3"/>
    <mergeCell ref="D4:J4"/>
    <mergeCell ref="B179:E179"/>
    <mergeCell ref="B180:L180"/>
    <mergeCell ref="B184:E184"/>
    <mergeCell ref="B185:L185"/>
    <mergeCell ref="K6:L6"/>
    <mergeCell ref="B6:C6"/>
    <mergeCell ref="D6:H6"/>
    <mergeCell ref="B2:B4"/>
    <mergeCell ref="C2:C4"/>
    <mergeCell ref="B31:C31"/>
    <mergeCell ref="B34:C34"/>
    <mergeCell ref="B36:C36"/>
    <mergeCell ref="B33:C33"/>
    <mergeCell ref="B32:C32"/>
    <mergeCell ref="B35:C35"/>
    <mergeCell ref="B25:C25"/>
    <mergeCell ref="B30:L30"/>
    <mergeCell ref="B14:L14"/>
    <mergeCell ref="B22:L22"/>
  </mergeCells>
  <printOptions horizontalCentered="1"/>
  <pageMargins left="0.11811023622047245" right="0.11811023622047245" top="0.15748031496062992" bottom="0.15748031496062992" header="0.31496062992125984" footer="0.31496062992125984"/>
  <pageSetup scale="70" fitToHeight="0" orientation="portrait" r:id="rId1"/>
  <ignoredErrors>
    <ignoredError sqref="C7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12"/>
  <sheetViews>
    <sheetView showGridLines="0" zoomScale="90" zoomScaleNormal="90" workbookViewId="0">
      <pane xSplit="7" ySplit="7" topLeftCell="H41" activePane="bottomRight" state="frozen"/>
      <selection pane="topRight" activeCell="H1" sqref="H1"/>
      <selection pane="bottomLeft" activeCell="A3" sqref="A3"/>
      <selection pane="bottomRight" activeCell="Y4" sqref="Y4:AA4"/>
    </sheetView>
  </sheetViews>
  <sheetFormatPr baseColWidth="10" defaultColWidth="20.7109375" defaultRowHeight="14.25" outlineLevelRow="1" x14ac:dyDescent="0.25"/>
  <cols>
    <col min="1" max="1" width="14.5703125" style="68" customWidth="1"/>
    <col min="2" max="4" width="9.42578125" style="68" customWidth="1"/>
    <col min="5" max="8" width="10" style="68" customWidth="1"/>
    <col min="9" max="9" width="9.42578125" style="68" customWidth="1"/>
    <col min="10" max="10" width="10" style="68" customWidth="1"/>
    <col min="11" max="11" width="10" style="69" customWidth="1"/>
    <col min="12" max="14" width="10" style="68" customWidth="1"/>
    <col min="15" max="15" width="10" style="69" customWidth="1"/>
    <col min="16" max="16" width="10.5703125" style="68" customWidth="1"/>
    <col min="17" max="18" width="15.85546875" style="68" bestFit="1" customWidth="1"/>
    <col min="19" max="19" width="17.28515625" style="68" customWidth="1"/>
    <col min="20" max="20" width="17" style="68" customWidth="1"/>
    <col min="21" max="23" width="17.140625" style="68" customWidth="1"/>
    <col min="24" max="24" width="4.28515625" style="68" customWidth="1"/>
    <col min="25" max="25" width="12.5703125" style="68" customWidth="1"/>
    <col min="26" max="26" width="15.7109375" style="68" customWidth="1"/>
    <col min="27" max="27" width="14" style="68" customWidth="1"/>
    <col min="28" max="28" width="9.85546875" style="68" customWidth="1"/>
    <col min="29" max="33" width="12" style="68" customWidth="1"/>
    <col min="34" max="16384" width="20.7109375" style="68"/>
  </cols>
  <sheetData>
    <row r="2" spans="1:27" ht="22.5" customHeight="1" x14ac:dyDescent="0.25">
      <c r="A2" s="370" t="e" vm="1">
        <v>#VALUE!</v>
      </c>
      <c r="B2" s="371"/>
      <c r="C2" s="371"/>
      <c r="D2" s="372"/>
      <c r="E2" s="370" t="e" vm="2">
        <v>#VALUE!</v>
      </c>
      <c r="F2" s="371"/>
      <c r="G2" s="371"/>
      <c r="H2" s="372"/>
      <c r="I2" s="379" t="s">
        <v>460</v>
      </c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2"/>
      <c r="Y2" s="397" t="s">
        <v>459</v>
      </c>
      <c r="Z2" s="398"/>
      <c r="AA2" s="399"/>
    </row>
    <row r="3" spans="1:27" ht="22.5" customHeight="1" x14ac:dyDescent="0.25">
      <c r="A3" s="373"/>
      <c r="B3" s="374"/>
      <c r="C3" s="374"/>
      <c r="D3" s="375"/>
      <c r="E3" s="373"/>
      <c r="F3" s="374"/>
      <c r="G3" s="374"/>
      <c r="H3" s="375"/>
      <c r="I3" s="376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8"/>
      <c r="Y3" s="397" t="s">
        <v>482</v>
      </c>
      <c r="Z3" s="398"/>
      <c r="AA3" s="399"/>
    </row>
    <row r="4" spans="1:27" ht="37.5" customHeight="1" x14ac:dyDescent="0.25">
      <c r="A4" s="376"/>
      <c r="B4" s="377"/>
      <c r="C4" s="377"/>
      <c r="D4" s="378"/>
      <c r="E4" s="376"/>
      <c r="F4" s="377"/>
      <c r="G4" s="377"/>
      <c r="H4" s="378"/>
      <c r="I4" s="380" t="s">
        <v>461</v>
      </c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2"/>
      <c r="Y4" s="397" t="s">
        <v>478</v>
      </c>
      <c r="Z4" s="398"/>
      <c r="AA4" s="399"/>
    </row>
    <row r="6" spans="1:27" ht="28.5" customHeight="1" x14ac:dyDescent="0.25">
      <c r="A6" s="386" t="s">
        <v>135</v>
      </c>
      <c r="B6" s="386"/>
      <c r="C6" s="386"/>
      <c r="D6" s="386"/>
      <c r="E6" s="386"/>
      <c r="F6" s="386"/>
      <c r="I6" s="390" t="s">
        <v>445</v>
      </c>
      <c r="J6" s="390"/>
      <c r="K6" s="390"/>
      <c r="L6" s="390"/>
      <c r="M6" s="390"/>
      <c r="AA6" s="68" t="s">
        <v>390</v>
      </c>
    </row>
    <row r="7" spans="1:27" ht="16.5" customHeight="1" x14ac:dyDescent="0.25">
      <c r="A7" s="388" t="s">
        <v>417</v>
      </c>
      <c r="B7" s="388"/>
      <c r="C7" s="388"/>
      <c r="D7" s="388"/>
      <c r="E7" s="388"/>
      <c r="F7" s="388"/>
      <c r="I7" s="390"/>
      <c r="J7" s="390"/>
      <c r="K7" s="390"/>
      <c r="L7" s="390"/>
      <c r="M7" s="390"/>
      <c r="Q7" s="85" t="s">
        <v>280</v>
      </c>
      <c r="R7" s="86">
        <v>0.05</v>
      </c>
      <c r="AA7" s="68" t="s">
        <v>391</v>
      </c>
    </row>
    <row r="8" spans="1:27" ht="15" customHeight="1" x14ac:dyDescent="0.25">
      <c r="A8" s="70"/>
      <c r="B8" s="70"/>
      <c r="C8" s="70"/>
      <c r="D8" s="70"/>
      <c r="E8" s="70"/>
      <c r="F8" s="70"/>
      <c r="AA8" s="68" t="s">
        <v>416</v>
      </c>
    </row>
    <row r="9" spans="1:27" ht="7.5" customHeight="1" x14ac:dyDescent="0.25">
      <c r="A9" s="70"/>
      <c r="B9" s="70"/>
      <c r="C9" s="70"/>
      <c r="D9" s="70"/>
      <c r="E9" s="70"/>
      <c r="F9" s="70"/>
    </row>
    <row r="10" spans="1:27" ht="13.5" customHeight="1" x14ac:dyDescent="0.25">
      <c r="A10" s="386" t="s">
        <v>136</v>
      </c>
      <c r="B10" s="386"/>
      <c r="C10" s="386"/>
      <c r="D10" s="386"/>
      <c r="E10" s="386"/>
      <c r="F10" s="386"/>
      <c r="I10" s="71" t="s">
        <v>444</v>
      </c>
      <c r="J10" s="263" t="s">
        <v>390</v>
      </c>
    </row>
    <row r="11" spans="1:27" ht="13.5" customHeight="1" x14ac:dyDescent="0.25">
      <c r="A11" s="386"/>
      <c r="B11" s="386"/>
      <c r="C11" s="386"/>
      <c r="D11" s="386"/>
      <c r="E11" s="386"/>
      <c r="F11" s="386"/>
      <c r="Q11" s="95">
        <f>P14</f>
        <v>108149</v>
      </c>
      <c r="R11" s="95">
        <f t="shared" ref="R11:W11" si="0">+Q11*(1+$R$7)</f>
        <v>113556.45000000001</v>
      </c>
      <c r="S11" s="95">
        <f t="shared" si="0"/>
        <v>119234.27250000002</v>
      </c>
      <c r="T11" s="95">
        <f t="shared" si="0"/>
        <v>125195.98612500002</v>
      </c>
      <c r="U11" s="95">
        <f t="shared" si="0"/>
        <v>131455.78543125003</v>
      </c>
      <c r="V11" s="95">
        <f t="shared" si="0"/>
        <v>138028.57470281253</v>
      </c>
      <c r="W11" s="95">
        <f t="shared" si="0"/>
        <v>144930.00343795316</v>
      </c>
    </row>
    <row r="12" spans="1:27" ht="15" customHeight="1" x14ac:dyDescent="0.25">
      <c r="A12" s="387" t="s">
        <v>137</v>
      </c>
      <c r="B12" s="389">
        <f>CONSOLIDADO!F11</f>
        <v>2027</v>
      </c>
      <c r="C12" s="387"/>
      <c r="D12" s="389">
        <f>CONSOLIDADO!G11</f>
        <v>2028</v>
      </c>
      <c r="E12" s="387"/>
      <c r="F12" s="389">
        <f>CONSOLIDADO!H11</f>
        <v>2029</v>
      </c>
      <c r="G12" s="387"/>
      <c r="H12" s="389">
        <f>CONSOLIDADO!I11</f>
        <v>2030</v>
      </c>
      <c r="I12" s="387"/>
      <c r="J12" s="389">
        <f>CONSOLIDADO!J11</f>
        <v>2031</v>
      </c>
      <c r="K12" s="387"/>
      <c r="L12" s="389">
        <f>CONSOLIDADO!K11</f>
        <v>2032</v>
      </c>
      <c r="M12" s="387"/>
      <c r="N12" s="389">
        <f>CONSOLIDADO!L11</f>
        <v>2033</v>
      </c>
      <c r="O12" s="387"/>
      <c r="P12" s="387" t="s">
        <v>155</v>
      </c>
      <c r="Q12" s="384">
        <f>B12</f>
        <v>2027</v>
      </c>
      <c r="R12" s="384">
        <f>D12</f>
        <v>2028</v>
      </c>
      <c r="S12" s="384">
        <f>F12</f>
        <v>2029</v>
      </c>
      <c r="T12" s="384">
        <f>H12</f>
        <v>2030</v>
      </c>
      <c r="U12" s="384">
        <f>J12</f>
        <v>2031</v>
      </c>
      <c r="V12" s="384">
        <f>L12</f>
        <v>2032</v>
      </c>
      <c r="W12" s="384">
        <f>N12</f>
        <v>2033</v>
      </c>
      <c r="Y12" s="383" t="s">
        <v>386</v>
      </c>
      <c r="Z12" s="383" t="s">
        <v>387</v>
      </c>
    </row>
    <row r="13" spans="1:27" ht="25.5" customHeight="1" x14ac:dyDescent="0.25">
      <c r="A13" s="387"/>
      <c r="B13" s="73" t="s">
        <v>139</v>
      </c>
      <c r="C13" s="73" t="s">
        <v>140</v>
      </c>
      <c r="D13" s="73" t="s">
        <v>139</v>
      </c>
      <c r="E13" s="73" t="s">
        <v>140</v>
      </c>
      <c r="F13" s="73" t="s">
        <v>139</v>
      </c>
      <c r="G13" s="73" t="s">
        <v>140</v>
      </c>
      <c r="H13" s="73" t="s">
        <v>139</v>
      </c>
      <c r="I13" s="73" t="s">
        <v>140</v>
      </c>
      <c r="J13" s="73" t="s">
        <v>139</v>
      </c>
      <c r="K13" s="73" t="s">
        <v>140</v>
      </c>
      <c r="L13" s="73" t="s">
        <v>139</v>
      </c>
      <c r="M13" s="73" t="s">
        <v>140</v>
      </c>
      <c r="N13" s="73" t="s">
        <v>139</v>
      </c>
      <c r="O13" s="73" t="s">
        <v>140</v>
      </c>
      <c r="P13" s="387"/>
      <c r="Q13" s="385"/>
      <c r="R13" s="385"/>
      <c r="S13" s="385"/>
      <c r="T13" s="385"/>
      <c r="U13" s="385"/>
      <c r="V13" s="385"/>
      <c r="W13" s="385"/>
      <c r="Y13" s="383"/>
      <c r="Z13" s="383"/>
    </row>
    <row r="14" spans="1:27" x14ac:dyDescent="0.25">
      <c r="A14" s="74"/>
      <c r="B14" s="265"/>
      <c r="C14" s="75">
        <f>IF(J10=AA6,B14,0)</f>
        <v>0</v>
      </c>
      <c r="D14" s="75">
        <f>IF(J10=AA8,0,B14)</f>
        <v>0</v>
      </c>
      <c r="E14" s="75">
        <f t="shared" ref="E14:O14" si="1">C14</f>
        <v>0</v>
      </c>
      <c r="F14" s="75">
        <f t="shared" si="1"/>
        <v>0</v>
      </c>
      <c r="G14" s="75">
        <f t="shared" si="1"/>
        <v>0</v>
      </c>
      <c r="H14" s="75">
        <f t="shared" si="1"/>
        <v>0</v>
      </c>
      <c r="I14" s="75">
        <f t="shared" si="1"/>
        <v>0</v>
      </c>
      <c r="J14" s="75">
        <f t="shared" si="1"/>
        <v>0</v>
      </c>
      <c r="K14" s="75">
        <f t="shared" si="1"/>
        <v>0</v>
      </c>
      <c r="L14" s="75">
        <f t="shared" si="1"/>
        <v>0</v>
      </c>
      <c r="M14" s="75">
        <f t="shared" si="1"/>
        <v>0</v>
      </c>
      <c r="N14" s="75">
        <f t="shared" si="1"/>
        <v>0</v>
      </c>
      <c r="O14" s="75">
        <f t="shared" si="1"/>
        <v>0</v>
      </c>
      <c r="P14" s="264">
        <v>108149</v>
      </c>
      <c r="Q14" s="77">
        <f>(B14+C14)*Q$11</f>
        <v>0</v>
      </c>
      <c r="R14" s="77">
        <f>(D14+E14)*R$11</f>
        <v>0</v>
      </c>
      <c r="S14" s="77">
        <f>(F14+G14)*S$11</f>
        <v>0</v>
      </c>
      <c r="T14" s="77">
        <f>(H14+I14)*T$11</f>
        <v>0</v>
      </c>
      <c r="U14" s="77">
        <f>(J14+K14)*U$11</f>
        <v>0</v>
      </c>
      <c r="V14" s="77">
        <f>(L14+M14)*V$11</f>
        <v>0</v>
      </c>
      <c r="W14" s="77">
        <f>(N14+O14)*W$11</f>
        <v>0</v>
      </c>
      <c r="Y14" s="266"/>
      <c r="Z14" s="89" t="str">
        <f>IF(B14=0,"No aplica",B35/B14)</f>
        <v>No aplica</v>
      </c>
    </row>
    <row r="15" spans="1:27" ht="7.5" customHeight="1" x14ac:dyDescent="0.25">
      <c r="A15" s="78"/>
      <c r="B15" s="78"/>
      <c r="C15" s="78"/>
      <c r="D15" s="78"/>
      <c r="E15" s="78"/>
      <c r="F15" s="78"/>
    </row>
    <row r="16" spans="1:27" ht="7.5" customHeight="1" x14ac:dyDescent="0.25">
      <c r="A16" s="78"/>
      <c r="B16" s="78"/>
      <c r="C16" s="78"/>
      <c r="D16" s="78"/>
      <c r="E16" s="78"/>
      <c r="F16" s="78"/>
    </row>
    <row r="17" spans="1:23" ht="13.35" customHeight="1" x14ac:dyDescent="0.25">
      <c r="A17" s="417" t="s">
        <v>169</v>
      </c>
      <c r="B17" s="417"/>
      <c r="C17" s="417"/>
      <c r="D17" s="417"/>
      <c r="E17" s="417"/>
      <c r="F17" s="417"/>
    </row>
    <row r="18" spans="1:23" ht="13.35" customHeight="1" x14ac:dyDescent="0.25">
      <c r="A18" s="417"/>
      <c r="B18" s="417"/>
      <c r="C18" s="417"/>
      <c r="D18" s="417"/>
      <c r="E18" s="417"/>
      <c r="F18" s="417"/>
    </row>
    <row r="19" spans="1:23" ht="13.35" customHeight="1" x14ac:dyDescent="0.25">
      <c r="A19" s="387" t="s">
        <v>137</v>
      </c>
      <c r="B19" s="389">
        <f>B$12</f>
        <v>2027</v>
      </c>
      <c r="C19" s="387"/>
      <c r="D19" s="389">
        <f>D$12</f>
        <v>2028</v>
      </c>
      <c r="E19" s="387"/>
      <c r="F19" s="389">
        <f>F$12</f>
        <v>2029</v>
      </c>
      <c r="G19" s="387"/>
      <c r="H19" s="389">
        <f>H$12</f>
        <v>2030</v>
      </c>
      <c r="I19" s="387"/>
      <c r="J19" s="389">
        <f>J$12</f>
        <v>2031</v>
      </c>
      <c r="K19" s="387"/>
      <c r="L19" s="389">
        <f>L$12</f>
        <v>2032</v>
      </c>
      <c r="M19" s="387"/>
      <c r="N19" s="389">
        <f>N$12</f>
        <v>2033</v>
      </c>
      <c r="O19" s="387"/>
      <c r="P19" s="387" t="s">
        <v>143</v>
      </c>
      <c r="Q19" s="389">
        <f>Q$12</f>
        <v>2027</v>
      </c>
      <c r="R19" s="389">
        <f t="shared" ref="R19:W19" si="2">R$12</f>
        <v>2028</v>
      </c>
      <c r="S19" s="389">
        <f t="shared" si="2"/>
        <v>2029</v>
      </c>
      <c r="T19" s="389">
        <f t="shared" si="2"/>
        <v>2030</v>
      </c>
      <c r="U19" s="389">
        <f t="shared" si="2"/>
        <v>2031</v>
      </c>
      <c r="V19" s="389">
        <f t="shared" si="2"/>
        <v>2032</v>
      </c>
      <c r="W19" s="389">
        <f t="shared" si="2"/>
        <v>2033</v>
      </c>
    </row>
    <row r="20" spans="1:23" ht="24" customHeight="1" x14ac:dyDescent="0.25">
      <c r="A20" s="387"/>
      <c r="B20" s="73" t="str">
        <f t="shared" ref="B20:O20" si="3">B$13</f>
        <v>PERIODO A</v>
      </c>
      <c r="C20" s="73" t="str">
        <f t="shared" si="3"/>
        <v>PERIODO B</v>
      </c>
      <c r="D20" s="73" t="str">
        <f t="shared" si="3"/>
        <v>PERIODO A</v>
      </c>
      <c r="E20" s="73" t="str">
        <f t="shared" si="3"/>
        <v>PERIODO B</v>
      </c>
      <c r="F20" s="73" t="str">
        <f t="shared" si="3"/>
        <v>PERIODO A</v>
      </c>
      <c r="G20" s="73" t="str">
        <f t="shared" si="3"/>
        <v>PERIODO B</v>
      </c>
      <c r="H20" s="73" t="str">
        <f t="shared" si="3"/>
        <v>PERIODO A</v>
      </c>
      <c r="I20" s="73" t="str">
        <f t="shared" si="3"/>
        <v>PERIODO B</v>
      </c>
      <c r="J20" s="73" t="str">
        <f t="shared" si="3"/>
        <v>PERIODO A</v>
      </c>
      <c r="K20" s="73" t="str">
        <f t="shared" si="3"/>
        <v>PERIODO B</v>
      </c>
      <c r="L20" s="73" t="str">
        <f t="shared" si="3"/>
        <v>PERIODO A</v>
      </c>
      <c r="M20" s="73" t="str">
        <f t="shared" si="3"/>
        <v>PERIODO B</v>
      </c>
      <c r="N20" s="73" t="str">
        <f t="shared" si="3"/>
        <v>PERIODO A</v>
      </c>
      <c r="O20" s="73" t="str">
        <f t="shared" si="3"/>
        <v>PERIODO B</v>
      </c>
      <c r="P20" s="387"/>
      <c r="Q20" s="387"/>
      <c r="R20" s="387"/>
      <c r="S20" s="387"/>
      <c r="T20" s="387"/>
      <c r="U20" s="387"/>
      <c r="V20" s="387"/>
      <c r="W20" s="387"/>
    </row>
    <row r="21" spans="1:23" ht="13.35" customHeight="1" x14ac:dyDescent="0.25">
      <c r="A21" s="74" t="s">
        <v>353</v>
      </c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4"/>
      <c r="Q21" s="77">
        <f>(B21+C21)*$P21</f>
        <v>0</v>
      </c>
      <c r="R21" s="77">
        <f t="shared" ref="R21:R27" si="4">(D21+E21)*$P21*(1+$R$7)</f>
        <v>0</v>
      </c>
      <c r="S21" s="77">
        <f t="shared" ref="S21:S27" si="5">(F21+G21)*$P21*(1+$R$7)^2</f>
        <v>0</v>
      </c>
      <c r="T21" s="77">
        <f t="shared" ref="T21:T27" si="6">(H21+I21)*$P21*(1+$R$7)^3</f>
        <v>0</v>
      </c>
      <c r="U21" s="77">
        <f t="shared" ref="U21:U27" si="7">(J21+K21)*$P21*(1+$R$7)^4</f>
        <v>0</v>
      </c>
      <c r="V21" s="77">
        <f>(L21+M21)*$P21*(1+$R$7)^5</f>
        <v>0</v>
      </c>
      <c r="W21" s="77">
        <f>(N21+O21)*$P21*(1+$R$7)^6</f>
        <v>0</v>
      </c>
    </row>
    <row r="22" spans="1:23" ht="13.35" customHeight="1" x14ac:dyDescent="0.25">
      <c r="A22" s="74" t="s">
        <v>354</v>
      </c>
      <c r="B22" s="265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4"/>
      <c r="Q22" s="77">
        <f>(B22+C22)*$P22</f>
        <v>0</v>
      </c>
      <c r="R22" s="77">
        <f t="shared" si="4"/>
        <v>0</v>
      </c>
      <c r="S22" s="77">
        <f t="shared" si="5"/>
        <v>0</v>
      </c>
      <c r="T22" s="77">
        <f t="shared" si="6"/>
        <v>0</v>
      </c>
      <c r="U22" s="77">
        <f t="shared" si="7"/>
        <v>0</v>
      </c>
      <c r="V22" s="77">
        <f>(L22+M22)*$P22*(1+$R$7)^5</f>
        <v>0</v>
      </c>
      <c r="W22" s="77">
        <f>(N22+O22)*$P22*(1+$R$7)^6</f>
        <v>0</v>
      </c>
    </row>
    <row r="23" spans="1:23" ht="13.35" customHeight="1" x14ac:dyDescent="0.25">
      <c r="A23" s="74" t="s">
        <v>355</v>
      </c>
      <c r="B23" s="265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4"/>
      <c r="Q23" s="77">
        <f t="shared" ref="Q23:Q27" si="8">(B23+C23)*$P23</f>
        <v>0</v>
      </c>
      <c r="R23" s="77">
        <f t="shared" si="4"/>
        <v>0</v>
      </c>
      <c r="S23" s="77">
        <f t="shared" si="5"/>
        <v>0</v>
      </c>
      <c r="T23" s="77">
        <f t="shared" si="6"/>
        <v>0</v>
      </c>
      <c r="U23" s="77">
        <f t="shared" si="7"/>
        <v>0</v>
      </c>
      <c r="V23" s="77">
        <f>(L23+M23)*$P23*(1+$R$7)^5</f>
        <v>0</v>
      </c>
      <c r="W23" s="77">
        <f>(N23+O23)*$P23*(1+$R$7)^6</f>
        <v>0</v>
      </c>
    </row>
    <row r="24" spans="1:23" ht="26.25" customHeight="1" x14ac:dyDescent="0.25">
      <c r="A24" s="74" t="s">
        <v>356</v>
      </c>
      <c r="B24" s="265"/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4"/>
      <c r="Q24" s="77">
        <f t="shared" si="8"/>
        <v>0</v>
      </c>
      <c r="R24" s="77">
        <f t="shared" si="4"/>
        <v>0</v>
      </c>
      <c r="S24" s="77">
        <f t="shared" si="5"/>
        <v>0</v>
      </c>
      <c r="T24" s="77">
        <f t="shared" si="6"/>
        <v>0</v>
      </c>
      <c r="U24" s="77">
        <f t="shared" si="7"/>
        <v>0</v>
      </c>
      <c r="V24" s="77">
        <f>(L24+M24)*$P24*(1+$R$7)^5</f>
        <v>0</v>
      </c>
      <c r="W24" s="77">
        <f>(N24+O24)*$P24*(1+$R$7)^6</f>
        <v>0</v>
      </c>
    </row>
    <row r="25" spans="1:23" ht="13.35" customHeight="1" x14ac:dyDescent="0.25">
      <c r="A25" s="74" t="s">
        <v>357</v>
      </c>
      <c r="B25" s="265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4"/>
      <c r="Q25" s="77">
        <f t="shared" si="8"/>
        <v>0</v>
      </c>
      <c r="R25" s="77">
        <f t="shared" si="4"/>
        <v>0</v>
      </c>
      <c r="S25" s="77">
        <f t="shared" si="5"/>
        <v>0</v>
      </c>
      <c r="T25" s="77">
        <f t="shared" si="6"/>
        <v>0</v>
      </c>
      <c r="U25" s="77">
        <f t="shared" si="7"/>
        <v>0</v>
      </c>
      <c r="V25" s="77">
        <f>(L25+M25)*$P25*(1+$R$7)^5</f>
        <v>0</v>
      </c>
      <c r="W25" s="77">
        <f>(N25+O25)*$P25*(1+$R$7)^6</f>
        <v>0</v>
      </c>
    </row>
    <row r="26" spans="1:23" ht="13.35" customHeight="1" x14ac:dyDescent="0.25">
      <c r="A26" s="74" t="s">
        <v>358</v>
      </c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4"/>
      <c r="Q26" s="77">
        <f t="shared" si="8"/>
        <v>0</v>
      </c>
      <c r="R26" s="77">
        <f t="shared" si="4"/>
        <v>0</v>
      </c>
      <c r="S26" s="77">
        <f t="shared" si="5"/>
        <v>0</v>
      </c>
      <c r="T26" s="77">
        <f t="shared" si="6"/>
        <v>0</v>
      </c>
      <c r="U26" s="77">
        <f t="shared" si="7"/>
        <v>0</v>
      </c>
      <c r="V26" s="77">
        <f>(K26+L26)*$P26*(1+$R$7)^4</f>
        <v>0</v>
      </c>
      <c r="W26" s="77">
        <f>(L26+M26)*$P26*(1+$R$7)^4</f>
        <v>0</v>
      </c>
    </row>
    <row r="27" spans="1:23" ht="13.35" customHeight="1" x14ac:dyDescent="0.25">
      <c r="A27" s="74" t="s">
        <v>359</v>
      </c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4"/>
      <c r="Q27" s="77">
        <f t="shared" si="8"/>
        <v>0</v>
      </c>
      <c r="R27" s="77">
        <f t="shared" si="4"/>
        <v>0</v>
      </c>
      <c r="S27" s="77">
        <f t="shared" si="5"/>
        <v>0</v>
      </c>
      <c r="T27" s="77">
        <f t="shared" si="6"/>
        <v>0</v>
      </c>
      <c r="U27" s="77">
        <f t="shared" si="7"/>
        <v>0</v>
      </c>
      <c r="V27" s="77">
        <f>(K27+L27)*$P27*(1+$R$7)^4</f>
        <v>0</v>
      </c>
      <c r="W27" s="77">
        <f>(L27+M27)*$P27*(1+$R$7)^4</f>
        <v>0</v>
      </c>
    </row>
    <row r="28" spans="1:23" ht="7.5" customHeight="1" x14ac:dyDescent="0.25">
      <c r="A28" s="78"/>
      <c r="B28" s="78"/>
      <c r="C28" s="78"/>
      <c r="D28" s="78"/>
      <c r="E28" s="78"/>
      <c r="F28" s="79"/>
    </row>
    <row r="29" spans="1:23" ht="7.5" customHeight="1" thickBot="1" x14ac:dyDescent="0.3">
      <c r="A29" s="78"/>
      <c r="B29" s="78"/>
      <c r="C29" s="78"/>
      <c r="D29" s="78"/>
      <c r="E29" s="78"/>
      <c r="F29" s="79"/>
    </row>
    <row r="30" spans="1:23" ht="12" customHeight="1" thickTop="1" x14ac:dyDescent="0.25">
      <c r="A30" s="391" t="s">
        <v>142</v>
      </c>
      <c r="B30" s="392"/>
      <c r="C30" s="392"/>
      <c r="D30" s="392"/>
      <c r="E30" s="392"/>
      <c r="F30" s="393"/>
      <c r="I30" s="80" t="s">
        <v>370</v>
      </c>
      <c r="J30" s="72">
        <v>12</v>
      </c>
      <c r="S30" s="69"/>
    </row>
    <row r="31" spans="1:23" ht="12" customHeight="1" x14ac:dyDescent="0.25">
      <c r="A31" s="394"/>
      <c r="B31" s="395"/>
      <c r="C31" s="395"/>
      <c r="D31" s="395"/>
      <c r="E31" s="395"/>
      <c r="F31" s="396"/>
      <c r="S31" s="69"/>
    </row>
    <row r="32" spans="1:23" ht="18" customHeight="1" x14ac:dyDescent="0.25">
      <c r="A32" s="87"/>
      <c r="B32" s="418" t="s">
        <v>138</v>
      </c>
      <c r="C32" s="418"/>
      <c r="D32" s="418"/>
      <c r="E32" s="418"/>
      <c r="F32" s="418"/>
      <c r="G32" s="418"/>
      <c r="H32" s="418"/>
      <c r="I32" s="418"/>
      <c r="J32" s="418"/>
      <c r="K32" s="418"/>
      <c r="L32" s="88"/>
      <c r="M32" s="88"/>
      <c r="N32" s="88"/>
      <c r="O32" s="88"/>
      <c r="Q32" s="95">
        <f>P35</f>
        <v>0</v>
      </c>
      <c r="R32" s="95">
        <f t="shared" ref="R32:W32" si="9">+Q32*(1+$R$7)</f>
        <v>0</v>
      </c>
      <c r="S32" s="95">
        <f t="shared" si="9"/>
        <v>0</v>
      </c>
      <c r="T32" s="95">
        <f t="shared" si="9"/>
        <v>0</v>
      </c>
      <c r="U32" s="95">
        <f t="shared" si="9"/>
        <v>0</v>
      </c>
      <c r="V32" s="95">
        <f t="shared" si="9"/>
        <v>0</v>
      </c>
      <c r="W32" s="95">
        <f t="shared" si="9"/>
        <v>0</v>
      </c>
    </row>
    <row r="33" spans="1:27" ht="15" customHeight="1" x14ac:dyDescent="0.25">
      <c r="A33" s="387" t="s">
        <v>369</v>
      </c>
      <c r="B33" s="389">
        <f>B$12</f>
        <v>2027</v>
      </c>
      <c r="C33" s="387"/>
      <c r="D33" s="389">
        <f>D$12</f>
        <v>2028</v>
      </c>
      <c r="E33" s="387"/>
      <c r="F33" s="389">
        <f>F$12</f>
        <v>2029</v>
      </c>
      <c r="G33" s="387"/>
      <c r="H33" s="389">
        <f>H$12</f>
        <v>2030</v>
      </c>
      <c r="I33" s="387"/>
      <c r="J33" s="389">
        <f>J$12</f>
        <v>2031</v>
      </c>
      <c r="K33" s="387"/>
      <c r="L33" s="389">
        <f>L$12</f>
        <v>2032</v>
      </c>
      <c r="M33" s="387"/>
      <c r="N33" s="389">
        <f>N$12</f>
        <v>2033</v>
      </c>
      <c r="O33" s="387"/>
      <c r="P33" s="387" t="s">
        <v>143</v>
      </c>
      <c r="Q33" s="384">
        <f>Q$12</f>
        <v>2027</v>
      </c>
      <c r="R33" s="384">
        <f t="shared" ref="R33:W33" si="10">R$12</f>
        <v>2028</v>
      </c>
      <c r="S33" s="384">
        <f t="shared" si="10"/>
        <v>2029</v>
      </c>
      <c r="T33" s="384">
        <f t="shared" si="10"/>
        <v>2030</v>
      </c>
      <c r="U33" s="384">
        <f t="shared" si="10"/>
        <v>2031</v>
      </c>
      <c r="V33" s="384">
        <f t="shared" si="10"/>
        <v>2032</v>
      </c>
      <c r="W33" s="384">
        <f t="shared" si="10"/>
        <v>2033</v>
      </c>
      <c r="Y33" s="69"/>
    </row>
    <row r="34" spans="1:27" ht="27" customHeight="1" x14ac:dyDescent="0.25">
      <c r="A34" s="387"/>
      <c r="B34" s="73" t="str">
        <f t="shared" ref="B34:O34" si="11">B$13</f>
        <v>PERIODO A</v>
      </c>
      <c r="C34" s="73" t="str">
        <f t="shared" si="11"/>
        <v>PERIODO B</v>
      </c>
      <c r="D34" s="73" t="str">
        <f t="shared" si="11"/>
        <v>PERIODO A</v>
      </c>
      <c r="E34" s="73" t="str">
        <f t="shared" si="11"/>
        <v>PERIODO B</v>
      </c>
      <c r="F34" s="73" t="str">
        <f t="shared" si="11"/>
        <v>PERIODO A</v>
      </c>
      <c r="G34" s="73" t="str">
        <f t="shared" si="11"/>
        <v>PERIODO B</v>
      </c>
      <c r="H34" s="73" t="str">
        <f t="shared" si="11"/>
        <v>PERIODO A</v>
      </c>
      <c r="I34" s="73" t="str">
        <f t="shared" si="11"/>
        <v>PERIODO B</v>
      </c>
      <c r="J34" s="73" t="str">
        <f t="shared" si="11"/>
        <v>PERIODO A</v>
      </c>
      <c r="K34" s="73" t="str">
        <f t="shared" si="11"/>
        <v>PERIODO B</v>
      </c>
      <c r="L34" s="73" t="str">
        <f t="shared" si="11"/>
        <v>PERIODO A</v>
      </c>
      <c r="M34" s="73" t="str">
        <f t="shared" si="11"/>
        <v>PERIODO B</v>
      </c>
      <c r="N34" s="73" t="str">
        <f t="shared" si="11"/>
        <v>PERIODO A</v>
      </c>
      <c r="O34" s="73" t="str">
        <f t="shared" si="11"/>
        <v>PERIODO B</v>
      </c>
      <c r="P34" s="387"/>
      <c r="Q34" s="385"/>
      <c r="R34" s="385"/>
      <c r="S34" s="385"/>
      <c r="T34" s="385"/>
      <c r="U34" s="385"/>
      <c r="V34" s="385"/>
      <c r="W34" s="385"/>
      <c r="X34" s="97" t="s">
        <v>446</v>
      </c>
      <c r="Y34" s="92" t="s">
        <v>289</v>
      </c>
      <c r="Z34" s="93" t="s">
        <v>388</v>
      </c>
      <c r="AA34" s="93" t="s">
        <v>351</v>
      </c>
    </row>
    <row r="35" spans="1:27" x14ac:dyDescent="0.25">
      <c r="A35" s="74" t="s">
        <v>144</v>
      </c>
      <c r="B35" s="99">
        <f>IF(B14&gt;Y14,B14-$Y14,0)</f>
        <v>0</v>
      </c>
      <c r="C35" s="75">
        <f>IF(C14&gt;0,C14-$Y14,0)</f>
        <v>0</v>
      </c>
      <c r="D35" s="75">
        <f t="shared" ref="D35:O35" si="12">IF(D14&gt;0,D14-$Y14,0)</f>
        <v>0</v>
      </c>
      <c r="E35" s="75">
        <f t="shared" si="12"/>
        <v>0</v>
      </c>
      <c r="F35" s="75">
        <f t="shared" si="12"/>
        <v>0</v>
      </c>
      <c r="G35" s="75">
        <f t="shared" si="12"/>
        <v>0</v>
      </c>
      <c r="H35" s="75">
        <f t="shared" si="12"/>
        <v>0</v>
      </c>
      <c r="I35" s="75">
        <f t="shared" si="12"/>
        <v>0</v>
      </c>
      <c r="J35" s="75">
        <f t="shared" si="12"/>
        <v>0</v>
      </c>
      <c r="K35" s="75">
        <f t="shared" si="12"/>
        <v>0</v>
      </c>
      <c r="L35" s="75">
        <f t="shared" si="12"/>
        <v>0</v>
      </c>
      <c r="M35" s="75">
        <f t="shared" si="12"/>
        <v>0</v>
      </c>
      <c r="N35" s="75">
        <f t="shared" si="12"/>
        <v>0</v>
      </c>
      <c r="O35" s="75">
        <f t="shared" si="12"/>
        <v>0</v>
      </c>
      <c r="P35" s="264"/>
      <c r="Q35" s="77">
        <f t="shared" ref="Q35:Q44" si="13">(B35+C35)*Q$32</f>
        <v>0</v>
      </c>
      <c r="R35" s="77">
        <f t="shared" ref="R35:R44" si="14">(D35+E35)*R$32</f>
        <v>0</v>
      </c>
      <c r="S35" s="77">
        <f t="shared" ref="S35:S44" si="15">(F35+G35)*S$32</f>
        <v>0</v>
      </c>
      <c r="T35" s="77">
        <f t="shared" ref="T35:T44" si="16">(H35+I35)*T$32</f>
        <v>0</v>
      </c>
      <c r="U35" s="77">
        <f t="shared" ref="U35:U44" si="17">(J35+K35)*U$32</f>
        <v>0</v>
      </c>
      <c r="V35" s="77">
        <f>(L35+M35)*V$32</f>
        <v>0</v>
      </c>
      <c r="W35" s="77">
        <f>(N35+O35)*W$32</f>
        <v>0</v>
      </c>
      <c r="X35" s="81">
        <v>1</v>
      </c>
      <c r="Y35" s="266"/>
      <c r="Z35" s="89"/>
      <c r="AA35" s="266"/>
    </row>
    <row r="36" spans="1:27" x14ac:dyDescent="0.25">
      <c r="A36" s="74" t="s">
        <v>145</v>
      </c>
      <c r="B36" s="75">
        <f t="shared" ref="B36:B44" si="18">IF($X36&gt;$J$30,0,IF(AA35=0,0,AA35-$Y35))</f>
        <v>0</v>
      </c>
      <c r="C36" s="99">
        <f>IF($X36&gt;$J$30,0,IF(B35=0,0,B35-$Y35))</f>
        <v>0</v>
      </c>
      <c r="D36" s="75">
        <f>IF($X36&gt;$J$30,0,IF(C35=0,0,C35-$Y35))</f>
        <v>0</v>
      </c>
      <c r="E36" s="75">
        <f t="shared" ref="E36:O38" si="19">IF($X36&gt;$J$30,0,IF(D35=0,0,D35-$Y35))</f>
        <v>0</v>
      </c>
      <c r="F36" s="75">
        <f t="shared" si="19"/>
        <v>0</v>
      </c>
      <c r="G36" s="75">
        <f t="shared" si="19"/>
        <v>0</v>
      </c>
      <c r="H36" s="75">
        <f t="shared" si="19"/>
        <v>0</v>
      </c>
      <c r="I36" s="75">
        <f t="shared" si="19"/>
        <v>0</v>
      </c>
      <c r="J36" s="75">
        <f t="shared" si="19"/>
        <v>0</v>
      </c>
      <c r="K36" s="75">
        <f t="shared" si="19"/>
        <v>0</v>
      </c>
      <c r="L36" s="75">
        <f t="shared" si="19"/>
        <v>0</v>
      </c>
      <c r="M36" s="75">
        <f t="shared" si="19"/>
        <v>0</v>
      </c>
      <c r="N36" s="75">
        <f t="shared" si="19"/>
        <v>0</v>
      </c>
      <c r="O36" s="75">
        <f t="shared" si="19"/>
        <v>0</v>
      </c>
      <c r="P36" s="81"/>
      <c r="Q36" s="77">
        <f t="shared" si="13"/>
        <v>0</v>
      </c>
      <c r="R36" s="77">
        <f t="shared" si="14"/>
        <v>0</v>
      </c>
      <c r="S36" s="77">
        <f t="shared" si="15"/>
        <v>0</v>
      </c>
      <c r="T36" s="77">
        <f t="shared" si="16"/>
        <v>0</v>
      </c>
      <c r="U36" s="77">
        <f t="shared" si="17"/>
        <v>0</v>
      </c>
      <c r="V36" s="77">
        <f t="shared" ref="V36:V44" si="20">(L36+M36)*V$32</f>
        <v>0</v>
      </c>
      <c r="W36" s="77">
        <f t="shared" ref="W36:W44" si="21">(N36+O36)*W$32</f>
        <v>0</v>
      </c>
      <c r="X36" s="81">
        <v>2</v>
      </c>
      <c r="Y36" s="266"/>
      <c r="Z36" s="89">
        <f>IF(X35&lt;$J$30,IF($B$35&gt;0,SUM($Y$35:Y35)/$B$35,0),0)</f>
        <v>0</v>
      </c>
      <c r="AA36" s="266"/>
    </row>
    <row r="37" spans="1:27" x14ac:dyDescent="0.25">
      <c r="A37" s="74" t="s">
        <v>146</v>
      </c>
      <c r="B37" s="75">
        <f t="shared" si="18"/>
        <v>0</v>
      </c>
      <c r="C37" s="75">
        <f t="shared" ref="C37:C44" si="22">IF($X37&gt;$J$30,0,IF($Y36&gt;B36,0,B36-$Y36))</f>
        <v>0</v>
      </c>
      <c r="D37" s="99">
        <f>IF($X37&gt;$J$30,0,IF(C36=0,0,C36-$Y36))</f>
        <v>0</v>
      </c>
      <c r="E37" s="75">
        <f t="shared" si="19"/>
        <v>0</v>
      </c>
      <c r="F37" s="75">
        <f t="shared" si="19"/>
        <v>0</v>
      </c>
      <c r="G37" s="75">
        <f t="shared" si="19"/>
        <v>0</v>
      </c>
      <c r="H37" s="75">
        <f t="shared" si="19"/>
        <v>0</v>
      </c>
      <c r="I37" s="75">
        <f t="shared" si="19"/>
        <v>0</v>
      </c>
      <c r="J37" s="75">
        <f t="shared" si="19"/>
        <v>0</v>
      </c>
      <c r="K37" s="75">
        <f t="shared" si="19"/>
        <v>0</v>
      </c>
      <c r="L37" s="75">
        <f t="shared" si="19"/>
        <v>0</v>
      </c>
      <c r="M37" s="75">
        <f t="shared" si="19"/>
        <v>0</v>
      </c>
      <c r="N37" s="75">
        <f t="shared" si="19"/>
        <v>0</v>
      </c>
      <c r="O37" s="75">
        <f t="shared" si="19"/>
        <v>0</v>
      </c>
      <c r="P37" s="81"/>
      <c r="Q37" s="77">
        <f t="shared" si="13"/>
        <v>0</v>
      </c>
      <c r="R37" s="77">
        <f t="shared" si="14"/>
        <v>0</v>
      </c>
      <c r="S37" s="77">
        <f t="shared" si="15"/>
        <v>0</v>
      </c>
      <c r="T37" s="77">
        <f t="shared" si="16"/>
        <v>0</v>
      </c>
      <c r="U37" s="77">
        <f t="shared" si="17"/>
        <v>0</v>
      </c>
      <c r="V37" s="77">
        <f t="shared" si="20"/>
        <v>0</v>
      </c>
      <c r="W37" s="77">
        <f t="shared" si="21"/>
        <v>0</v>
      </c>
      <c r="X37" s="81">
        <v>3</v>
      </c>
      <c r="Y37" s="266"/>
      <c r="Z37" s="89">
        <f>IF(X36&lt;$J$30,IF($B$35&gt;0,SUM($Y$35:Y36)/$B$35,0),0)</f>
        <v>0</v>
      </c>
      <c r="AA37" s="266"/>
    </row>
    <row r="38" spans="1:27" x14ac:dyDescent="0.25">
      <c r="A38" s="74" t="s">
        <v>147</v>
      </c>
      <c r="B38" s="75">
        <f t="shared" si="18"/>
        <v>0</v>
      </c>
      <c r="C38" s="75">
        <f t="shared" si="22"/>
        <v>0</v>
      </c>
      <c r="D38" s="75">
        <f t="shared" ref="D38:D44" si="23">IF($X38&gt;$J$30,0,IF($Y37&gt;C37,0,C37-$Y37))</f>
        <v>0</v>
      </c>
      <c r="E38" s="99">
        <f t="shared" si="19"/>
        <v>0</v>
      </c>
      <c r="F38" s="75">
        <f t="shared" ref="F38:F39" si="24">IF($X38&gt;$J$30,0,IF(E37=0,0,E37-$Y37))</f>
        <v>0</v>
      </c>
      <c r="G38" s="75">
        <f t="shared" ref="G38:G40" si="25">IF($X38&gt;$J$30,0,IF(F37=0,0,F37-$Y37))</f>
        <v>0</v>
      </c>
      <c r="H38" s="75">
        <f t="shared" ref="H38:H41" si="26">IF($X38&gt;$J$30,0,IF(G37=0,0,G37-$Y37))</f>
        <v>0</v>
      </c>
      <c r="I38" s="75">
        <f t="shared" ref="I38:I42" si="27">IF($X38&gt;$J$30,0,IF(H37=0,0,H37-$Y37))</f>
        <v>0</v>
      </c>
      <c r="J38" s="75">
        <f t="shared" ref="J38:J43" si="28">IF($X38&gt;$J$30,0,IF(I37=0,0,I37-$Y37))</f>
        <v>0</v>
      </c>
      <c r="K38" s="75">
        <f t="shared" ref="K38:K44" si="29">IF($X38&gt;$J$30,0,IF(J37=0,0,J37-$Y37))</f>
        <v>0</v>
      </c>
      <c r="L38" s="75">
        <f t="shared" ref="L38:L45" si="30">IF($X38&gt;$J$30,0,IF(K37=0,0,K37-$Y37))</f>
        <v>0</v>
      </c>
      <c r="M38" s="75">
        <f t="shared" ref="M38:M46" si="31">IF($X38&gt;$J$30,0,IF(L37=0,0,L37-$Y37))</f>
        <v>0</v>
      </c>
      <c r="N38" s="75">
        <f t="shared" ref="N38:N46" si="32">IF($X38&gt;$J$30,0,IF(M37=0,0,M37-$Y37))</f>
        <v>0</v>
      </c>
      <c r="O38" s="75">
        <f t="shared" ref="O38:O46" si="33">IF($X38&gt;$J$30,0,IF(N37=0,0,N37-$Y37))</f>
        <v>0</v>
      </c>
      <c r="P38" s="81"/>
      <c r="Q38" s="77">
        <f t="shared" si="13"/>
        <v>0</v>
      </c>
      <c r="R38" s="77">
        <f t="shared" si="14"/>
        <v>0</v>
      </c>
      <c r="S38" s="77">
        <f t="shared" si="15"/>
        <v>0</v>
      </c>
      <c r="T38" s="77">
        <f t="shared" si="16"/>
        <v>0</v>
      </c>
      <c r="U38" s="77">
        <f t="shared" si="17"/>
        <v>0</v>
      </c>
      <c r="V38" s="77">
        <f t="shared" si="20"/>
        <v>0</v>
      </c>
      <c r="W38" s="77">
        <f t="shared" si="21"/>
        <v>0</v>
      </c>
      <c r="X38" s="81">
        <v>4</v>
      </c>
      <c r="Y38" s="266"/>
      <c r="Z38" s="89">
        <f>IF(X37&lt;$J$30,IF($B$35&gt;0,SUM($Y$35:Y37)/$B$35,0),0)</f>
        <v>0</v>
      </c>
      <c r="AA38" s="266"/>
    </row>
    <row r="39" spans="1:27" x14ac:dyDescent="0.25">
      <c r="A39" s="74" t="s">
        <v>148</v>
      </c>
      <c r="B39" s="75">
        <f t="shared" si="18"/>
        <v>0</v>
      </c>
      <c r="C39" s="75">
        <f t="shared" si="22"/>
        <v>0</v>
      </c>
      <c r="D39" s="75">
        <f t="shared" si="23"/>
        <v>0</v>
      </c>
      <c r="E39" s="75">
        <f t="shared" ref="E39:E44" si="34">IF($X39&gt;$J$30,0,IF($Y38&gt;D38,0,D38-$Y38))</f>
        <v>0</v>
      </c>
      <c r="F39" s="99">
        <f t="shared" si="24"/>
        <v>0</v>
      </c>
      <c r="G39" s="75">
        <f t="shared" si="25"/>
        <v>0</v>
      </c>
      <c r="H39" s="75">
        <f t="shared" si="26"/>
        <v>0</v>
      </c>
      <c r="I39" s="75">
        <f t="shared" si="27"/>
        <v>0</v>
      </c>
      <c r="J39" s="75">
        <f t="shared" si="28"/>
        <v>0</v>
      </c>
      <c r="K39" s="75">
        <f t="shared" si="29"/>
        <v>0</v>
      </c>
      <c r="L39" s="75">
        <f t="shared" si="30"/>
        <v>0</v>
      </c>
      <c r="M39" s="75">
        <f t="shared" si="31"/>
        <v>0</v>
      </c>
      <c r="N39" s="75">
        <f t="shared" si="32"/>
        <v>0</v>
      </c>
      <c r="O39" s="75">
        <f t="shared" si="33"/>
        <v>0</v>
      </c>
      <c r="P39" s="81"/>
      <c r="Q39" s="77">
        <f t="shared" si="13"/>
        <v>0</v>
      </c>
      <c r="R39" s="77">
        <f t="shared" si="14"/>
        <v>0</v>
      </c>
      <c r="S39" s="77">
        <f t="shared" si="15"/>
        <v>0</v>
      </c>
      <c r="T39" s="77">
        <f t="shared" si="16"/>
        <v>0</v>
      </c>
      <c r="U39" s="77">
        <f t="shared" si="17"/>
        <v>0</v>
      </c>
      <c r="V39" s="77">
        <f t="shared" si="20"/>
        <v>0</v>
      </c>
      <c r="W39" s="77">
        <f t="shared" si="21"/>
        <v>0</v>
      </c>
      <c r="X39" s="81">
        <v>5</v>
      </c>
      <c r="Y39" s="266"/>
      <c r="Z39" s="89">
        <f>IF(X38&lt;$J$30,IF($B$35&gt;0,SUM($Y$35:Y38)/$B$35,0),0)</f>
        <v>0</v>
      </c>
      <c r="AA39" s="266"/>
    </row>
    <row r="40" spans="1:27" x14ac:dyDescent="0.25">
      <c r="A40" s="74" t="s">
        <v>149</v>
      </c>
      <c r="B40" s="75">
        <f t="shared" si="18"/>
        <v>0</v>
      </c>
      <c r="C40" s="75">
        <f t="shared" si="22"/>
        <v>0</v>
      </c>
      <c r="D40" s="75">
        <f t="shared" si="23"/>
        <v>0</v>
      </c>
      <c r="E40" s="75">
        <f t="shared" si="34"/>
        <v>0</v>
      </c>
      <c r="F40" s="75">
        <f>IF($X40&gt;$J$30,0,IF($Y39&gt;E39,0,E39-$Y39))</f>
        <v>0</v>
      </c>
      <c r="G40" s="99">
        <f t="shared" si="25"/>
        <v>0</v>
      </c>
      <c r="H40" s="75">
        <f t="shared" si="26"/>
        <v>0</v>
      </c>
      <c r="I40" s="75">
        <f t="shared" si="27"/>
        <v>0</v>
      </c>
      <c r="J40" s="75">
        <f t="shared" si="28"/>
        <v>0</v>
      </c>
      <c r="K40" s="75">
        <f t="shared" si="29"/>
        <v>0</v>
      </c>
      <c r="L40" s="75">
        <f t="shared" si="30"/>
        <v>0</v>
      </c>
      <c r="M40" s="75">
        <f t="shared" si="31"/>
        <v>0</v>
      </c>
      <c r="N40" s="75">
        <f t="shared" si="32"/>
        <v>0</v>
      </c>
      <c r="O40" s="75">
        <f t="shared" si="33"/>
        <v>0</v>
      </c>
      <c r="P40" s="81"/>
      <c r="Q40" s="77">
        <f t="shared" si="13"/>
        <v>0</v>
      </c>
      <c r="R40" s="77">
        <f t="shared" si="14"/>
        <v>0</v>
      </c>
      <c r="S40" s="77">
        <f t="shared" si="15"/>
        <v>0</v>
      </c>
      <c r="T40" s="77">
        <f t="shared" si="16"/>
        <v>0</v>
      </c>
      <c r="U40" s="77">
        <f t="shared" si="17"/>
        <v>0</v>
      </c>
      <c r="V40" s="77">
        <f t="shared" si="20"/>
        <v>0</v>
      </c>
      <c r="W40" s="77">
        <f t="shared" si="21"/>
        <v>0</v>
      </c>
      <c r="X40" s="81">
        <v>6</v>
      </c>
      <c r="Y40" s="266"/>
      <c r="Z40" s="89">
        <f>IF(X39&lt;$J$30,IF($B$35&gt;0,SUM($Y$35:Y39)/$B$35,0),0)</f>
        <v>0</v>
      </c>
      <c r="AA40" s="266"/>
    </row>
    <row r="41" spans="1:27" x14ac:dyDescent="0.25">
      <c r="A41" s="74" t="s">
        <v>150</v>
      </c>
      <c r="B41" s="75">
        <f t="shared" si="18"/>
        <v>0</v>
      </c>
      <c r="C41" s="75">
        <f t="shared" si="22"/>
        <v>0</v>
      </c>
      <c r="D41" s="75">
        <f t="shared" si="23"/>
        <v>0</v>
      </c>
      <c r="E41" s="75">
        <f t="shared" si="34"/>
        <v>0</v>
      </c>
      <c r="F41" s="75">
        <f>IF($X41&gt;$J$30,0,IF($Y40&gt;E40,0,E40-$Y40))</f>
        <v>0</v>
      </c>
      <c r="G41" s="75">
        <f>IF($X41&gt;$J$30,0,IF($Y40&gt;F40,0,F40-$Y40))</f>
        <v>0</v>
      </c>
      <c r="H41" s="99">
        <f t="shared" si="26"/>
        <v>0</v>
      </c>
      <c r="I41" s="75">
        <f t="shared" si="27"/>
        <v>0</v>
      </c>
      <c r="J41" s="75">
        <f t="shared" si="28"/>
        <v>0</v>
      </c>
      <c r="K41" s="75">
        <f t="shared" si="29"/>
        <v>0</v>
      </c>
      <c r="L41" s="75">
        <f t="shared" si="30"/>
        <v>0</v>
      </c>
      <c r="M41" s="75">
        <f t="shared" si="31"/>
        <v>0</v>
      </c>
      <c r="N41" s="75">
        <f t="shared" si="32"/>
        <v>0</v>
      </c>
      <c r="O41" s="75">
        <f t="shared" si="33"/>
        <v>0</v>
      </c>
      <c r="P41" s="81"/>
      <c r="Q41" s="77">
        <f t="shared" si="13"/>
        <v>0</v>
      </c>
      <c r="R41" s="77">
        <f t="shared" si="14"/>
        <v>0</v>
      </c>
      <c r="S41" s="77">
        <f t="shared" si="15"/>
        <v>0</v>
      </c>
      <c r="T41" s="77">
        <f t="shared" si="16"/>
        <v>0</v>
      </c>
      <c r="U41" s="77">
        <f t="shared" si="17"/>
        <v>0</v>
      </c>
      <c r="V41" s="77">
        <f t="shared" si="20"/>
        <v>0</v>
      </c>
      <c r="W41" s="77">
        <f t="shared" si="21"/>
        <v>0</v>
      </c>
      <c r="X41" s="81">
        <v>7</v>
      </c>
      <c r="Y41" s="266"/>
      <c r="Z41" s="89">
        <f>IF(X40&lt;$J$30,IF($B$35&gt;0,SUM($Y$35:Y40)/$B$35,0),0)</f>
        <v>0</v>
      </c>
      <c r="AA41" s="266"/>
    </row>
    <row r="42" spans="1:27" x14ac:dyDescent="0.25">
      <c r="A42" s="74" t="s">
        <v>151</v>
      </c>
      <c r="B42" s="75">
        <f t="shared" si="18"/>
        <v>0</v>
      </c>
      <c r="C42" s="75">
        <f t="shared" si="22"/>
        <v>0</v>
      </c>
      <c r="D42" s="75">
        <f t="shared" si="23"/>
        <v>0</v>
      </c>
      <c r="E42" s="75">
        <f t="shared" si="34"/>
        <v>0</v>
      </c>
      <c r="F42" s="75">
        <f>IF($X42&gt;$J$30,0,IF($Y41&gt;E41,0,E41-$Y41))</f>
        <v>0</v>
      </c>
      <c r="G42" s="75">
        <f>IF($X42&gt;$J$30,0,IF($Y41&gt;F41,0,F41-$Y41))</f>
        <v>0</v>
      </c>
      <c r="H42" s="75">
        <f>IF($X42&gt;$J$30,0,IF($Y41&gt;G41,0,G41-$Y41))</f>
        <v>0</v>
      </c>
      <c r="I42" s="99">
        <f t="shared" si="27"/>
        <v>0</v>
      </c>
      <c r="J42" s="75">
        <f t="shared" si="28"/>
        <v>0</v>
      </c>
      <c r="K42" s="75">
        <f t="shared" si="29"/>
        <v>0</v>
      </c>
      <c r="L42" s="75">
        <f t="shared" si="30"/>
        <v>0</v>
      </c>
      <c r="M42" s="75">
        <f t="shared" si="31"/>
        <v>0</v>
      </c>
      <c r="N42" s="75">
        <f t="shared" si="32"/>
        <v>0</v>
      </c>
      <c r="O42" s="75">
        <f t="shared" si="33"/>
        <v>0</v>
      </c>
      <c r="P42" s="81"/>
      <c r="Q42" s="77">
        <f t="shared" si="13"/>
        <v>0</v>
      </c>
      <c r="R42" s="77">
        <f t="shared" si="14"/>
        <v>0</v>
      </c>
      <c r="S42" s="77">
        <f t="shared" si="15"/>
        <v>0</v>
      </c>
      <c r="T42" s="77">
        <f t="shared" si="16"/>
        <v>0</v>
      </c>
      <c r="U42" s="77">
        <f t="shared" si="17"/>
        <v>0</v>
      </c>
      <c r="V42" s="77">
        <f t="shared" si="20"/>
        <v>0</v>
      </c>
      <c r="W42" s="77">
        <f t="shared" si="21"/>
        <v>0</v>
      </c>
      <c r="X42" s="81">
        <v>8</v>
      </c>
      <c r="Y42" s="266"/>
      <c r="Z42" s="89">
        <f>IF(X41&lt;$J$30,IF($B$35&gt;0,SUM($Y$35:Y41)/$B$35,0),0)</f>
        <v>0</v>
      </c>
      <c r="AA42" s="266"/>
    </row>
    <row r="43" spans="1:27" x14ac:dyDescent="0.25">
      <c r="A43" s="74" t="s">
        <v>152</v>
      </c>
      <c r="B43" s="75">
        <f t="shared" si="18"/>
        <v>0</v>
      </c>
      <c r="C43" s="75">
        <f t="shared" si="22"/>
        <v>0</v>
      </c>
      <c r="D43" s="75">
        <f t="shared" si="23"/>
        <v>0</v>
      </c>
      <c r="E43" s="75">
        <f t="shared" si="34"/>
        <v>0</v>
      </c>
      <c r="F43" s="75">
        <f>IF($X43&gt;$J$30,0,IF($Y42&gt;E42,0,E42-$Y42))</f>
        <v>0</v>
      </c>
      <c r="G43" s="75">
        <f>IF($X43&gt;$J$30,0,IF($Y42&gt;F42,0,F42-$Y42))</f>
        <v>0</v>
      </c>
      <c r="H43" s="75">
        <f>IF($X43&gt;$J$30,0,IF($Y42&gt;G42,0,G42-$Y42))</f>
        <v>0</v>
      </c>
      <c r="I43" s="75">
        <f>IF($X43&gt;$J$30,0,IF($Y42&gt;H42,0,H42-$Y42))</f>
        <v>0</v>
      </c>
      <c r="J43" s="99">
        <f t="shared" si="28"/>
        <v>0</v>
      </c>
      <c r="K43" s="75">
        <f t="shared" si="29"/>
        <v>0</v>
      </c>
      <c r="L43" s="75">
        <f t="shared" si="30"/>
        <v>0</v>
      </c>
      <c r="M43" s="75">
        <f t="shared" si="31"/>
        <v>0</v>
      </c>
      <c r="N43" s="75">
        <f t="shared" si="32"/>
        <v>0</v>
      </c>
      <c r="O43" s="75">
        <f t="shared" si="33"/>
        <v>0</v>
      </c>
      <c r="P43" s="81"/>
      <c r="Q43" s="77">
        <f t="shared" si="13"/>
        <v>0</v>
      </c>
      <c r="R43" s="77">
        <f t="shared" si="14"/>
        <v>0</v>
      </c>
      <c r="S43" s="77">
        <f t="shared" si="15"/>
        <v>0</v>
      </c>
      <c r="T43" s="77">
        <f t="shared" si="16"/>
        <v>0</v>
      </c>
      <c r="U43" s="77">
        <f t="shared" si="17"/>
        <v>0</v>
      </c>
      <c r="V43" s="77">
        <f t="shared" si="20"/>
        <v>0</v>
      </c>
      <c r="W43" s="77">
        <f t="shared" si="21"/>
        <v>0</v>
      </c>
      <c r="X43" s="81">
        <v>9</v>
      </c>
      <c r="Y43" s="266"/>
      <c r="Z43" s="89">
        <f>IF(X42&lt;$J$30,IF($B$35&gt;0,SUM($Y$35:Y42)/$B$35,0),0)</f>
        <v>0</v>
      </c>
      <c r="AA43" s="266"/>
    </row>
    <row r="44" spans="1:27" x14ac:dyDescent="0.25">
      <c r="A44" s="74" t="s">
        <v>153</v>
      </c>
      <c r="B44" s="75">
        <f t="shared" si="18"/>
        <v>0</v>
      </c>
      <c r="C44" s="75">
        <f t="shared" si="22"/>
        <v>0</v>
      </c>
      <c r="D44" s="75">
        <f t="shared" si="23"/>
        <v>0</v>
      </c>
      <c r="E44" s="75">
        <f t="shared" si="34"/>
        <v>0</v>
      </c>
      <c r="F44" s="75">
        <f>IF($X44&gt;$J$30,0,IF($Y43&gt;E43,0,E43-$Y43))</f>
        <v>0</v>
      </c>
      <c r="G44" s="75">
        <f>IF($X44&gt;$J$30,0,IF($Y43&gt;F43,0,F43-$Y43))</f>
        <v>0</v>
      </c>
      <c r="H44" s="75">
        <f>IF($X44&gt;$J$30,0,IF($Y43&gt;G43,0,G43-$Y43))</f>
        <v>0</v>
      </c>
      <c r="I44" s="75">
        <f>IF($X44&gt;$J$30,0,IF($Y43&gt;H43,0,H43-$Y43))</f>
        <v>0</v>
      </c>
      <c r="J44" s="75">
        <f>IF($X44&gt;$J$30,0,IF($Y43&gt;I43,0,I43-$Y43))</f>
        <v>0</v>
      </c>
      <c r="K44" s="99">
        <f t="shared" si="29"/>
        <v>0</v>
      </c>
      <c r="L44" s="75">
        <f t="shared" si="30"/>
        <v>0</v>
      </c>
      <c r="M44" s="75">
        <f t="shared" si="31"/>
        <v>0</v>
      </c>
      <c r="N44" s="75">
        <f t="shared" si="32"/>
        <v>0</v>
      </c>
      <c r="O44" s="75">
        <f t="shared" si="33"/>
        <v>0</v>
      </c>
      <c r="P44" s="81"/>
      <c r="Q44" s="77">
        <f t="shared" si="13"/>
        <v>0</v>
      </c>
      <c r="R44" s="77">
        <f t="shared" si="14"/>
        <v>0</v>
      </c>
      <c r="S44" s="77">
        <f t="shared" si="15"/>
        <v>0</v>
      </c>
      <c r="T44" s="77">
        <f t="shared" si="16"/>
        <v>0</v>
      </c>
      <c r="U44" s="77">
        <f t="shared" si="17"/>
        <v>0</v>
      </c>
      <c r="V44" s="77">
        <f t="shared" si="20"/>
        <v>0</v>
      </c>
      <c r="W44" s="77">
        <f t="shared" si="21"/>
        <v>0</v>
      </c>
      <c r="X44" s="81">
        <v>10</v>
      </c>
      <c r="Y44" s="266"/>
      <c r="Z44" s="89">
        <f>IF(X43&lt;$J$30,IF($B$35&gt;0,SUM($Y$35:Y43)/$B$35,0),0)</f>
        <v>0</v>
      </c>
      <c r="AA44" s="266"/>
    </row>
    <row r="45" spans="1:27" x14ac:dyDescent="0.25">
      <c r="A45" s="74" t="s">
        <v>365</v>
      </c>
      <c r="B45" s="75">
        <f t="shared" ref="B45:B46" si="35">IF($X45&gt;$J$30,0,IF(AA44=0,0,AA44-$Y44))</f>
        <v>0</v>
      </c>
      <c r="C45" s="75">
        <f t="shared" ref="C45:C46" si="36">IF($X45&gt;$J$30,0,IF($Y44&gt;B44,0,B44-$Y44))</f>
        <v>0</v>
      </c>
      <c r="D45" s="75">
        <f t="shared" ref="D45:D46" si="37">IF($X45&gt;$J$30,0,IF($Y44&gt;C44,0,C44-$Y44))</f>
        <v>0</v>
      </c>
      <c r="E45" s="75">
        <f t="shared" ref="E45:K46" si="38">IF($X45&gt;$J$30,0,IF($Y44&gt;D44,0,D44-$Y44))</f>
        <v>0</v>
      </c>
      <c r="F45" s="75">
        <f t="shared" si="38"/>
        <v>0</v>
      </c>
      <c r="G45" s="75">
        <f t="shared" si="38"/>
        <v>0</v>
      </c>
      <c r="H45" s="75">
        <f t="shared" si="38"/>
        <v>0</v>
      </c>
      <c r="I45" s="75">
        <f t="shared" si="38"/>
        <v>0</v>
      </c>
      <c r="J45" s="75">
        <f t="shared" si="38"/>
        <v>0</v>
      </c>
      <c r="K45" s="75">
        <f t="shared" si="38"/>
        <v>0</v>
      </c>
      <c r="L45" s="99">
        <f t="shared" si="30"/>
        <v>0</v>
      </c>
      <c r="M45" s="75">
        <f t="shared" si="31"/>
        <v>0</v>
      </c>
      <c r="N45" s="75">
        <f t="shared" si="32"/>
        <v>0</v>
      </c>
      <c r="O45" s="75">
        <f t="shared" si="33"/>
        <v>0</v>
      </c>
      <c r="P45" s="81"/>
      <c r="Q45" s="77">
        <f t="shared" ref="Q45:Q46" si="39">(B45+C45)*Q$32</f>
        <v>0</v>
      </c>
      <c r="R45" s="77">
        <f t="shared" ref="R45:R46" si="40">(D45+E45)*R$32</f>
        <v>0</v>
      </c>
      <c r="S45" s="77">
        <f t="shared" ref="S45:S46" si="41">(F45+G45)*S$32</f>
        <v>0</v>
      </c>
      <c r="T45" s="77">
        <f t="shared" ref="T45:T46" si="42">(H45+I45)*T$32</f>
        <v>0</v>
      </c>
      <c r="U45" s="77">
        <f t="shared" ref="U45:U46" si="43">(J45+K45)*U$32</f>
        <v>0</v>
      </c>
      <c r="V45" s="77">
        <f t="shared" ref="V45:V46" si="44">(L45+M45)*V$32</f>
        <v>0</v>
      </c>
      <c r="W45" s="77">
        <f t="shared" ref="W45:W46" si="45">(N45+O45)*W$32</f>
        <v>0</v>
      </c>
      <c r="X45" s="81">
        <v>11</v>
      </c>
      <c r="Y45" s="266"/>
      <c r="Z45" s="89">
        <f>IF(X44&lt;$J$30,IF($B$35&gt;0,SUM($Y$35:Y44)/$B$35,0),0)</f>
        <v>0</v>
      </c>
      <c r="AA45" s="266"/>
    </row>
    <row r="46" spans="1:27" x14ac:dyDescent="0.25">
      <c r="A46" s="74" t="s">
        <v>366</v>
      </c>
      <c r="B46" s="75">
        <f t="shared" si="35"/>
        <v>0</v>
      </c>
      <c r="C46" s="75">
        <f t="shared" si="36"/>
        <v>0</v>
      </c>
      <c r="D46" s="75">
        <f t="shared" si="37"/>
        <v>0</v>
      </c>
      <c r="E46" s="75">
        <f t="shared" si="38"/>
        <v>0</v>
      </c>
      <c r="F46" s="75">
        <f t="shared" ref="F46:J46" si="46">IF($X46&gt;$J$30,0,IF($Y45&gt;E45,0,E45-$Y45))</f>
        <v>0</v>
      </c>
      <c r="G46" s="75">
        <f t="shared" si="46"/>
        <v>0</v>
      </c>
      <c r="H46" s="75">
        <f t="shared" si="46"/>
        <v>0</v>
      </c>
      <c r="I46" s="75">
        <f t="shared" si="46"/>
        <v>0</v>
      </c>
      <c r="J46" s="75">
        <f t="shared" si="46"/>
        <v>0</v>
      </c>
      <c r="K46" s="75">
        <f t="shared" si="38"/>
        <v>0</v>
      </c>
      <c r="L46" s="75">
        <f t="shared" ref="L46" si="47">IF($X46&gt;$J$30,0,IF($Y45&gt;K45,0,K45-$Y45))</f>
        <v>0</v>
      </c>
      <c r="M46" s="99">
        <f t="shared" si="31"/>
        <v>0</v>
      </c>
      <c r="N46" s="75">
        <f t="shared" si="32"/>
        <v>0</v>
      </c>
      <c r="O46" s="75">
        <f t="shared" si="33"/>
        <v>0</v>
      </c>
      <c r="P46" s="81"/>
      <c r="Q46" s="77">
        <f t="shared" si="39"/>
        <v>0</v>
      </c>
      <c r="R46" s="77">
        <f t="shared" si="40"/>
        <v>0</v>
      </c>
      <c r="S46" s="77">
        <f t="shared" si="41"/>
        <v>0</v>
      </c>
      <c r="T46" s="77">
        <f t="shared" si="42"/>
        <v>0</v>
      </c>
      <c r="U46" s="77">
        <f t="shared" si="43"/>
        <v>0</v>
      </c>
      <c r="V46" s="77">
        <f t="shared" si="44"/>
        <v>0</v>
      </c>
      <c r="W46" s="77">
        <f t="shared" si="45"/>
        <v>0</v>
      </c>
      <c r="X46" s="81">
        <v>12</v>
      </c>
      <c r="Y46" s="90"/>
      <c r="Z46" s="89">
        <f>IF(X45&lt;$J$30,IF($B$35&gt;0,SUM($Y$35:Y45)/$B$35,0),0)</f>
        <v>0</v>
      </c>
      <c r="AA46" s="266"/>
    </row>
    <row r="47" spans="1:27" x14ac:dyDescent="0.25">
      <c r="A47" s="102" t="s">
        <v>141</v>
      </c>
      <c r="B47" s="99">
        <f>SUM(B35:B46)</f>
        <v>0</v>
      </c>
      <c r="C47" s="99">
        <f t="shared" ref="C47:O47" si="48">SUM(C35:C46)</f>
        <v>0</v>
      </c>
      <c r="D47" s="99">
        <f t="shared" si="48"/>
        <v>0</v>
      </c>
      <c r="E47" s="99">
        <f t="shared" si="48"/>
        <v>0</v>
      </c>
      <c r="F47" s="99">
        <f t="shared" si="48"/>
        <v>0</v>
      </c>
      <c r="G47" s="99">
        <f t="shared" si="48"/>
        <v>0</v>
      </c>
      <c r="H47" s="99">
        <f t="shared" si="48"/>
        <v>0</v>
      </c>
      <c r="I47" s="99">
        <f t="shared" si="48"/>
        <v>0</v>
      </c>
      <c r="J47" s="99">
        <f t="shared" si="48"/>
        <v>0</v>
      </c>
      <c r="K47" s="99">
        <f t="shared" si="48"/>
        <v>0</v>
      </c>
      <c r="L47" s="99">
        <f t="shared" si="48"/>
        <v>0</v>
      </c>
      <c r="M47" s="99">
        <f t="shared" si="48"/>
        <v>0</v>
      </c>
      <c r="N47" s="99">
        <f t="shared" si="48"/>
        <v>0</v>
      </c>
      <c r="O47" s="99">
        <f t="shared" si="48"/>
        <v>0</v>
      </c>
      <c r="P47" s="103"/>
      <c r="Q47" s="98">
        <f>SUM(Q35:Q46)</f>
        <v>0</v>
      </c>
      <c r="R47" s="98">
        <f t="shared" ref="R47:W47" si="49">SUM(R35:R46)</f>
        <v>0</v>
      </c>
      <c r="S47" s="98">
        <f t="shared" si="49"/>
        <v>0</v>
      </c>
      <c r="T47" s="98">
        <f t="shared" si="49"/>
        <v>0</v>
      </c>
      <c r="U47" s="98">
        <f t="shared" si="49"/>
        <v>0</v>
      </c>
      <c r="V47" s="98">
        <f t="shared" si="49"/>
        <v>0</v>
      </c>
      <c r="W47" s="98">
        <f t="shared" si="49"/>
        <v>0</v>
      </c>
      <c r="X47" s="82"/>
      <c r="Y47" s="69"/>
    </row>
    <row r="48" spans="1:27" ht="5.25" customHeight="1" x14ac:dyDescent="0.25">
      <c r="A48" s="78"/>
      <c r="B48" s="78"/>
      <c r="C48" s="78"/>
      <c r="D48" s="78"/>
      <c r="E48" s="78"/>
      <c r="F48" s="78"/>
    </row>
    <row r="49" spans="1:26" ht="7.5" customHeight="1" x14ac:dyDescent="0.25">
      <c r="A49" s="78"/>
      <c r="B49" s="78"/>
      <c r="C49" s="78"/>
      <c r="D49" s="78"/>
      <c r="E49" s="78"/>
      <c r="F49" s="78"/>
    </row>
    <row r="50" spans="1:26" ht="12" customHeight="1" x14ac:dyDescent="0.25">
      <c r="A50" s="417" t="s">
        <v>154</v>
      </c>
      <c r="B50" s="417"/>
      <c r="C50" s="417"/>
      <c r="D50" s="417"/>
      <c r="E50" s="417"/>
      <c r="F50" s="417"/>
      <c r="Y50" s="68" t="s">
        <v>304</v>
      </c>
    </row>
    <row r="51" spans="1:26" ht="12" customHeight="1" x14ac:dyDescent="0.25">
      <c r="A51" s="417"/>
      <c r="B51" s="417"/>
      <c r="C51" s="417"/>
      <c r="D51" s="417"/>
      <c r="E51" s="417"/>
      <c r="F51" s="417"/>
      <c r="Q51" s="94">
        <f>P54</f>
        <v>1135149</v>
      </c>
      <c r="R51" s="94">
        <f>+Q51*(1+$R$7)</f>
        <v>1191906.45</v>
      </c>
      <c r="S51" s="94">
        <f t="shared" ref="S51:W51" si="50">+R51*(1+$R$7)</f>
        <v>1251501.7725</v>
      </c>
      <c r="T51" s="94">
        <f t="shared" si="50"/>
        <v>1314076.8611250001</v>
      </c>
      <c r="U51" s="94">
        <f t="shared" si="50"/>
        <v>1379780.7041812502</v>
      </c>
      <c r="V51" s="94">
        <f t="shared" si="50"/>
        <v>1448769.7393903127</v>
      </c>
      <c r="W51" s="94">
        <f t="shared" si="50"/>
        <v>1521208.2263598284</v>
      </c>
    </row>
    <row r="52" spans="1:26" ht="15" customHeight="1" x14ac:dyDescent="0.25">
      <c r="A52" s="409" t="s">
        <v>137</v>
      </c>
      <c r="B52" s="389">
        <f>B$12</f>
        <v>2027</v>
      </c>
      <c r="C52" s="387"/>
      <c r="D52" s="389">
        <f>D$12</f>
        <v>2028</v>
      </c>
      <c r="E52" s="387"/>
      <c r="F52" s="389">
        <f>F$12</f>
        <v>2029</v>
      </c>
      <c r="G52" s="387"/>
      <c r="H52" s="389">
        <f>H$12</f>
        <v>2030</v>
      </c>
      <c r="I52" s="387"/>
      <c r="J52" s="389">
        <f>J$12</f>
        <v>2031</v>
      </c>
      <c r="K52" s="387"/>
      <c r="L52" s="389">
        <f>L$12</f>
        <v>2032</v>
      </c>
      <c r="M52" s="387"/>
      <c r="N52" s="389">
        <f>N$12</f>
        <v>2033</v>
      </c>
      <c r="O52" s="387"/>
      <c r="P52" s="407" t="s">
        <v>155</v>
      </c>
      <c r="Q52" s="384">
        <f>Q$12</f>
        <v>2027</v>
      </c>
      <c r="R52" s="384">
        <f t="shared" ref="R52:W52" si="51">R$12</f>
        <v>2028</v>
      </c>
      <c r="S52" s="384">
        <f t="shared" si="51"/>
        <v>2029</v>
      </c>
      <c r="T52" s="384">
        <f t="shared" si="51"/>
        <v>2030</v>
      </c>
      <c r="U52" s="384">
        <f t="shared" si="51"/>
        <v>2031</v>
      </c>
      <c r="V52" s="384">
        <f t="shared" si="51"/>
        <v>2032</v>
      </c>
      <c r="W52" s="384">
        <f t="shared" si="51"/>
        <v>2033</v>
      </c>
      <c r="Y52" s="383" t="s">
        <v>447</v>
      </c>
      <c r="Z52" s="383"/>
    </row>
    <row r="53" spans="1:26" ht="27" customHeight="1" x14ac:dyDescent="0.25">
      <c r="A53" s="410"/>
      <c r="B53" s="73" t="str">
        <f t="shared" ref="B53:O53" si="52">B$13</f>
        <v>PERIODO A</v>
      </c>
      <c r="C53" s="73" t="str">
        <f t="shared" si="52"/>
        <v>PERIODO B</v>
      </c>
      <c r="D53" s="73" t="str">
        <f t="shared" si="52"/>
        <v>PERIODO A</v>
      </c>
      <c r="E53" s="73" t="str">
        <f t="shared" si="52"/>
        <v>PERIODO B</v>
      </c>
      <c r="F53" s="73" t="str">
        <f t="shared" si="52"/>
        <v>PERIODO A</v>
      </c>
      <c r="G53" s="73" t="str">
        <f t="shared" si="52"/>
        <v>PERIODO B</v>
      </c>
      <c r="H53" s="73" t="str">
        <f t="shared" si="52"/>
        <v>PERIODO A</v>
      </c>
      <c r="I53" s="73" t="str">
        <f t="shared" si="52"/>
        <v>PERIODO B</v>
      </c>
      <c r="J53" s="73" t="str">
        <f t="shared" si="52"/>
        <v>PERIODO A</v>
      </c>
      <c r="K53" s="73" t="str">
        <f t="shared" si="52"/>
        <v>PERIODO B</v>
      </c>
      <c r="L53" s="73" t="str">
        <f t="shared" si="52"/>
        <v>PERIODO A</v>
      </c>
      <c r="M53" s="73" t="str">
        <f t="shared" si="52"/>
        <v>PERIODO B</v>
      </c>
      <c r="N53" s="73" t="str">
        <f t="shared" si="52"/>
        <v>PERIODO A</v>
      </c>
      <c r="O53" s="73" t="str">
        <f t="shared" si="52"/>
        <v>PERIODO B</v>
      </c>
      <c r="P53" s="408"/>
      <c r="Q53" s="385"/>
      <c r="R53" s="385"/>
      <c r="S53" s="385"/>
      <c r="T53" s="385"/>
      <c r="U53" s="385"/>
      <c r="V53" s="385"/>
      <c r="W53" s="385"/>
      <c r="Y53" s="383"/>
      <c r="Z53" s="383"/>
    </row>
    <row r="54" spans="1:26" ht="15" x14ac:dyDescent="0.25">
      <c r="A54" s="74" t="s">
        <v>156</v>
      </c>
      <c r="B54" s="75">
        <f>IF(LOOKUP($J$30,$X$35:$X$46,$AA$35:$AA$46)=0,0,LOOKUP($J$30,$X$35:$X$46,$AA$35:$AA$46)-$Y$54)</f>
        <v>0</v>
      </c>
      <c r="C54" s="75">
        <f>IF(LOOKUP($J$30,$X$35:$X$46,B35:B46)=0,0,LOOKUP($J$30,$X$35:$X$46,B35:B46)-$Y$54)</f>
        <v>0</v>
      </c>
      <c r="D54" s="75">
        <f t="shared" ref="D54:O54" si="53">IF(LOOKUP($J$30,$X$35:$X$46,C35:C46)=0,0,LOOKUP($J$30,$X$35:$X$46,C35:C46)-$Y$54)</f>
        <v>0</v>
      </c>
      <c r="E54" s="75">
        <f t="shared" si="53"/>
        <v>0</v>
      </c>
      <c r="F54" s="75">
        <f t="shared" si="53"/>
        <v>0</v>
      </c>
      <c r="G54" s="75">
        <f t="shared" si="53"/>
        <v>0</v>
      </c>
      <c r="H54" s="75">
        <f t="shared" si="53"/>
        <v>0</v>
      </c>
      <c r="I54" s="75">
        <f t="shared" si="53"/>
        <v>0</v>
      </c>
      <c r="J54" s="75">
        <f t="shared" si="53"/>
        <v>0</v>
      </c>
      <c r="K54" s="75">
        <f t="shared" si="53"/>
        <v>0</v>
      </c>
      <c r="L54" s="75">
        <f t="shared" si="53"/>
        <v>0</v>
      </c>
      <c r="M54" s="75">
        <f t="shared" si="53"/>
        <v>0</v>
      </c>
      <c r="N54" s="75">
        <f t="shared" si="53"/>
        <v>0</v>
      </c>
      <c r="O54" s="75">
        <f t="shared" si="53"/>
        <v>0</v>
      </c>
      <c r="P54" s="264">
        <v>1135149</v>
      </c>
      <c r="Q54" s="77">
        <f>(B54+C54)*Q$51</f>
        <v>0</v>
      </c>
      <c r="R54" s="77">
        <f>(D54+E54)*R$51</f>
        <v>0</v>
      </c>
      <c r="S54" s="77">
        <f>(F54+G54)*S$51</f>
        <v>0</v>
      </c>
      <c r="T54" s="77">
        <f>(H54+I54)*T$51</f>
        <v>0</v>
      </c>
      <c r="U54" s="77">
        <f>(J54+K54)*U$51</f>
        <v>0</v>
      </c>
      <c r="V54" s="77">
        <f>(L54+M54)*V$51</f>
        <v>0</v>
      </c>
      <c r="W54" s="77">
        <f>(N54+O54)*W$51</f>
        <v>0</v>
      </c>
      <c r="Y54" s="267"/>
      <c r="Z54" s="96">
        <f>IF($B$35&gt;0,(SUM($Y$35:Y47)+Y54)/$B$35,0)</f>
        <v>0</v>
      </c>
    </row>
    <row r="55" spans="1:26" ht="7.5" customHeight="1" x14ac:dyDescent="0.25">
      <c r="A55" s="78"/>
      <c r="B55" s="78"/>
      <c r="C55" s="78"/>
      <c r="D55" s="78"/>
      <c r="E55" s="78"/>
      <c r="F55" s="78"/>
    </row>
    <row r="56" spans="1:26" ht="7.5" customHeight="1" x14ac:dyDescent="0.25">
      <c r="A56" s="78"/>
      <c r="B56" s="78"/>
      <c r="C56" s="78"/>
      <c r="D56" s="78"/>
      <c r="E56" s="78"/>
      <c r="F56" s="78"/>
    </row>
    <row r="57" spans="1:26" ht="11.25" customHeight="1" x14ac:dyDescent="0.25">
      <c r="A57" s="417" t="s">
        <v>168</v>
      </c>
      <c r="B57" s="417"/>
      <c r="C57" s="417"/>
      <c r="D57" s="417"/>
      <c r="E57" s="417"/>
      <c r="F57" s="417"/>
    </row>
    <row r="58" spans="1:26" ht="11.25" customHeight="1" x14ac:dyDescent="0.25">
      <c r="A58" s="417"/>
      <c r="B58" s="417"/>
      <c r="C58" s="417"/>
      <c r="D58" s="417"/>
      <c r="E58" s="417"/>
      <c r="F58" s="417"/>
    </row>
    <row r="59" spans="1:26" ht="15" customHeight="1" x14ac:dyDescent="0.25">
      <c r="A59" s="409" t="s">
        <v>7</v>
      </c>
      <c r="B59" s="405">
        <f>B$12</f>
        <v>2027</v>
      </c>
      <c r="C59" s="406"/>
      <c r="D59" s="405">
        <f>D$12</f>
        <v>2028</v>
      </c>
      <c r="E59" s="406"/>
      <c r="F59" s="405">
        <f>F$12</f>
        <v>2029</v>
      </c>
      <c r="G59" s="406"/>
      <c r="H59" s="405">
        <f>H$12</f>
        <v>2030</v>
      </c>
      <c r="I59" s="406"/>
      <c r="J59" s="405">
        <f>J$12</f>
        <v>2031</v>
      </c>
      <c r="K59" s="406"/>
      <c r="L59" s="405">
        <f>L$12</f>
        <v>2032</v>
      </c>
      <c r="M59" s="406"/>
      <c r="N59" s="405">
        <f>N$12</f>
        <v>2033</v>
      </c>
      <c r="O59" s="406"/>
      <c r="P59" s="404" t="s">
        <v>155</v>
      </c>
      <c r="Q59" s="403">
        <f>Q$12</f>
        <v>2027</v>
      </c>
      <c r="R59" s="403">
        <f t="shared" ref="R59:W59" si="54">R$12</f>
        <v>2028</v>
      </c>
      <c r="S59" s="403">
        <f t="shared" si="54"/>
        <v>2029</v>
      </c>
      <c r="T59" s="403">
        <f t="shared" si="54"/>
        <v>2030</v>
      </c>
      <c r="U59" s="403">
        <f t="shared" si="54"/>
        <v>2031</v>
      </c>
      <c r="V59" s="403">
        <f t="shared" si="54"/>
        <v>2032</v>
      </c>
      <c r="W59" s="403">
        <f t="shared" si="54"/>
        <v>2033</v>
      </c>
      <c r="Y59" s="400" t="s">
        <v>463</v>
      </c>
    </row>
    <row r="60" spans="1:26" ht="29.25" customHeight="1" x14ac:dyDescent="0.25">
      <c r="A60" s="410"/>
      <c r="B60" s="73" t="str">
        <f t="shared" ref="B60:O60" si="55">B$13</f>
        <v>PERIODO A</v>
      </c>
      <c r="C60" s="73" t="str">
        <f t="shared" si="55"/>
        <v>PERIODO B</v>
      </c>
      <c r="D60" s="73" t="str">
        <f t="shared" si="55"/>
        <v>PERIODO A</v>
      </c>
      <c r="E60" s="73" t="str">
        <f t="shared" si="55"/>
        <v>PERIODO B</v>
      </c>
      <c r="F60" s="73" t="str">
        <f t="shared" si="55"/>
        <v>PERIODO A</v>
      </c>
      <c r="G60" s="73" t="str">
        <f t="shared" si="55"/>
        <v>PERIODO B</v>
      </c>
      <c r="H60" s="73" t="str">
        <f t="shared" si="55"/>
        <v>PERIODO A</v>
      </c>
      <c r="I60" s="73" t="str">
        <f t="shared" si="55"/>
        <v>PERIODO B</v>
      </c>
      <c r="J60" s="73" t="str">
        <f t="shared" si="55"/>
        <v>PERIODO A</v>
      </c>
      <c r="K60" s="73" t="str">
        <f t="shared" si="55"/>
        <v>PERIODO B</v>
      </c>
      <c r="L60" s="73" t="str">
        <f t="shared" si="55"/>
        <v>PERIODO A</v>
      </c>
      <c r="M60" s="73" t="str">
        <f t="shared" si="55"/>
        <v>PERIODO B</v>
      </c>
      <c r="N60" s="73" t="str">
        <f t="shared" si="55"/>
        <v>PERIODO A</v>
      </c>
      <c r="O60" s="73" t="str">
        <f t="shared" si="55"/>
        <v>PERIODO B</v>
      </c>
      <c r="P60" s="404"/>
      <c r="Q60" s="404"/>
      <c r="R60" s="404"/>
      <c r="S60" s="404"/>
      <c r="T60" s="404"/>
      <c r="U60" s="404"/>
      <c r="V60" s="404"/>
      <c r="W60" s="404"/>
      <c r="Y60" s="400"/>
    </row>
    <row r="61" spans="1:26" x14ac:dyDescent="0.25">
      <c r="A61" s="6" t="s">
        <v>157</v>
      </c>
      <c r="B61" s="75">
        <f>IF($Y61=0,0,ROUNDUP(B$47/$Y61,0))</f>
        <v>0</v>
      </c>
      <c r="C61" s="75">
        <f t="shared" ref="C61:O61" si="56">IF($Y61=0,0,ROUNDUP(C$47/$Y61,0))</f>
        <v>0</v>
      </c>
      <c r="D61" s="75">
        <f t="shared" si="56"/>
        <v>0</v>
      </c>
      <c r="E61" s="75">
        <f t="shared" si="56"/>
        <v>0</v>
      </c>
      <c r="F61" s="75">
        <f t="shared" si="56"/>
        <v>0</v>
      </c>
      <c r="G61" s="75">
        <f t="shared" si="56"/>
        <v>0</v>
      </c>
      <c r="H61" s="75">
        <f t="shared" si="56"/>
        <v>0</v>
      </c>
      <c r="I61" s="75">
        <f t="shared" si="56"/>
        <v>0</v>
      </c>
      <c r="J61" s="75">
        <f t="shared" si="56"/>
        <v>0</v>
      </c>
      <c r="K61" s="75">
        <f t="shared" si="56"/>
        <v>0</v>
      </c>
      <c r="L61" s="75">
        <f t="shared" si="56"/>
        <v>0</v>
      </c>
      <c r="M61" s="75">
        <f t="shared" si="56"/>
        <v>0</v>
      </c>
      <c r="N61" s="75">
        <f t="shared" si="56"/>
        <v>0</v>
      </c>
      <c r="O61" s="75">
        <f t="shared" si="56"/>
        <v>0</v>
      </c>
      <c r="P61" s="264">
        <v>19527</v>
      </c>
      <c r="Q61" s="77">
        <f t="shared" ref="Q61:Q67" si="57">(B61+C61)*$P61</f>
        <v>0</v>
      </c>
      <c r="R61" s="77">
        <f t="shared" ref="R61:R67" si="58">(D61+E61)*$P61*(1+$R$7)</f>
        <v>0</v>
      </c>
      <c r="S61" s="77">
        <f t="shared" ref="S61:S67" si="59">(F61+G61)*$P61*(1+$R$7)^2</f>
        <v>0</v>
      </c>
      <c r="T61" s="77">
        <f t="shared" ref="T61:T67" si="60">(H61+I61)*$P61*(1+$R$7)^3</f>
        <v>0</v>
      </c>
      <c r="U61" s="77">
        <f t="shared" ref="U61:U67" si="61">(J61+K61)*$P61*(1+$R$7)^4</f>
        <v>0</v>
      </c>
      <c r="V61" s="77">
        <f>(L61+M61)*$P61*(1+$R$7)^5</f>
        <v>0</v>
      </c>
      <c r="W61" s="77">
        <f>(N61+O61)*$P61*(1+$R$7)^6</f>
        <v>0</v>
      </c>
      <c r="Y61" s="268">
        <v>30</v>
      </c>
    </row>
    <row r="62" spans="1:26" x14ac:dyDescent="0.25">
      <c r="A62" s="6" t="s">
        <v>158</v>
      </c>
      <c r="B62" s="75">
        <f t="shared" ref="B62:O67" si="62">IF($Y62=0,0,ROUNDUP(B$47/$Y62,0))</f>
        <v>0</v>
      </c>
      <c r="C62" s="75">
        <f t="shared" si="62"/>
        <v>0</v>
      </c>
      <c r="D62" s="75">
        <f t="shared" si="62"/>
        <v>0</v>
      </c>
      <c r="E62" s="75">
        <f t="shared" si="62"/>
        <v>0</v>
      </c>
      <c r="F62" s="75">
        <f t="shared" si="62"/>
        <v>0</v>
      </c>
      <c r="G62" s="75">
        <f t="shared" si="62"/>
        <v>0</v>
      </c>
      <c r="H62" s="75">
        <f t="shared" si="62"/>
        <v>0</v>
      </c>
      <c r="I62" s="75">
        <f t="shared" si="62"/>
        <v>0</v>
      </c>
      <c r="J62" s="75">
        <f t="shared" si="62"/>
        <v>0</v>
      </c>
      <c r="K62" s="75">
        <f t="shared" si="62"/>
        <v>0</v>
      </c>
      <c r="L62" s="75">
        <f t="shared" si="62"/>
        <v>0</v>
      </c>
      <c r="M62" s="75">
        <f t="shared" si="62"/>
        <v>0</v>
      </c>
      <c r="N62" s="75">
        <f t="shared" si="62"/>
        <v>0</v>
      </c>
      <c r="O62" s="75">
        <f t="shared" si="62"/>
        <v>0</v>
      </c>
      <c r="P62" s="264">
        <v>76629</v>
      </c>
      <c r="Q62" s="77">
        <f t="shared" si="57"/>
        <v>0</v>
      </c>
      <c r="R62" s="77">
        <f t="shared" si="58"/>
        <v>0</v>
      </c>
      <c r="S62" s="77">
        <f t="shared" si="59"/>
        <v>0</v>
      </c>
      <c r="T62" s="77">
        <f t="shared" si="60"/>
        <v>0</v>
      </c>
      <c r="U62" s="77">
        <f t="shared" si="61"/>
        <v>0</v>
      </c>
      <c r="V62" s="77">
        <f>(L62+M62)*$P62*(1+$R$7)^5</f>
        <v>0</v>
      </c>
      <c r="W62" s="77">
        <f>(N62+O62)*$P62*(1+$R$7)^6</f>
        <v>0</v>
      </c>
      <c r="Y62" s="268">
        <v>50</v>
      </c>
    </row>
    <row r="63" spans="1:26" x14ac:dyDescent="0.25">
      <c r="A63" s="6" t="s">
        <v>159</v>
      </c>
      <c r="B63" s="75">
        <f t="shared" si="62"/>
        <v>0</v>
      </c>
      <c r="C63" s="75">
        <f t="shared" si="62"/>
        <v>0</v>
      </c>
      <c r="D63" s="75">
        <f t="shared" si="62"/>
        <v>0</v>
      </c>
      <c r="E63" s="75">
        <f t="shared" si="62"/>
        <v>0</v>
      </c>
      <c r="F63" s="75">
        <f t="shared" si="62"/>
        <v>0</v>
      </c>
      <c r="G63" s="75">
        <f t="shared" si="62"/>
        <v>0</v>
      </c>
      <c r="H63" s="75">
        <f t="shared" si="62"/>
        <v>0</v>
      </c>
      <c r="I63" s="75">
        <f t="shared" si="62"/>
        <v>0</v>
      </c>
      <c r="J63" s="75">
        <f t="shared" si="62"/>
        <v>0</v>
      </c>
      <c r="K63" s="75">
        <f t="shared" si="62"/>
        <v>0</v>
      </c>
      <c r="L63" s="75">
        <f t="shared" si="62"/>
        <v>0</v>
      </c>
      <c r="M63" s="75">
        <f t="shared" si="62"/>
        <v>0</v>
      </c>
      <c r="N63" s="75">
        <f t="shared" si="62"/>
        <v>0</v>
      </c>
      <c r="O63" s="75">
        <f t="shared" si="62"/>
        <v>0</v>
      </c>
      <c r="P63" s="264">
        <v>70962</v>
      </c>
      <c r="Q63" s="77">
        <f t="shared" si="57"/>
        <v>0</v>
      </c>
      <c r="R63" s="77">
        <f t="shared" si="58"/>
        <v>0</v>
      </c>
      <c r="S63" s="77">
        <f t="shared" si="59"/>
        <v>0</v>
      </c>
      <c r="T63" s="77">
        <f t="shared" si="60"/>
        <v>0</v>
      </c>
      <c r="U63" s="77">
        <f t="shared" si="61"/>
        <v>0</v>
      </c>
      <c r="V63" s="77">
        <f>(L63+M63)*$P63*(1+$R$7)^5</f>
        <v>0</v>
      </c>
      <c r="W63" s="77">
        <f>(N63+O63)*$P63*(1+$R$7)^6</f>
        <v>0</v>
      </c>
      <c r="Y63" s="268">
        <v>50</v>
      </c>
    </row>
    <row r="64" spans="1:26" x14ac:dyDescent="0.25">
      <c r="A64" s="6" t="s">
        <v>160</v>
      </c>
      <c r="B64" s="75">
        <f t="shared" si="62"/>
        <v>0</v>
      </c>
      <c r="C64" s="75">
        <f t="shared" si="62"/>
        <v>0</v>
      </c>
      <c r="D64" s="75">
        <f t="shared" si="62"/>
        <v>0</v>
      </c>
      <c r="E64" s="75">
        <f t="shared" si="62"/>
        <v>0</v>
      </c>
      <c r="F64" s="75">
        <f t="shared" si="62"/>
        <v>0</v>
      </c>
      <c r="G64" s="75">
        <f t="shared" si="62"/>
        <v>0</v>
      </c>
      <c r="H64" s="75">
        <f t="shared" si="62"/>
        <v>0</v>
      </c>
      <c r="I64" s="75">
        <f t="shared" si="62"/>
        <v>0</v>
      </c>
      <c r="J64" s="75">
        <f t="shared" si="62"/>
        <v>0</v>
      </c>
      <c r="K64" s="75">
        <f t="shared" si="62"/>
        <v>0</v>
      </c>
      <c r="L64" s="75">
        <f t="shared" si="62"/>
        <v>0</v>
      </c>
      <c r="M64" s="75">
        <f t="shared" si="62"/>
        <v>0</v>
      </c>
      <c r="N64" s="75">
        <f t="shared" si="62"/>
        <v>0</v>
      </c>
      <c r="O64" s="75">
        <f t="shared" si="62"/>
        <v>0</v>
      </c>
      <c r="P64" s="264">
        <v>108149</v>
      </c>
      <c r="Q64" s="77">
        <f t="shared" si="57"/>
        <v>0</v>
      </c>
      <c r="R64" s="77">
        <f t="shared" si="58"/>
        <v>0</v>
      </c>
      <c r="S64" s="77">
        <f t="shared" si="59"/>
        <v>0</v>
      </c>
      <c r="T64" s="77">
        <f t="shared" si="60"/>
        <v>0</v>
      </c>
      <c r="U64" s="77">
        <f t="shared" si="61"/>
        <v>0</v>
      </c>
      <c r="V64" s="77">
        <f>(L64+M64)*$P64*(1+$R$7)^5</f>
        <v>0</v>
      </c>
      <c r="W64" s="77">
        <f>(N64+O64)*$P64*(1+$R$7)^6</f>
        <v>0</v>
      </c>
      <c r="Y64" s="268">
        <v>50</v>
      </c>
    </row>
    <row r="65" spans="1:25" ht="43.5" customHeight="1" x14ac:dyDescent="0.25">
      <c r="A65" s="6" t="s">
        <v>161</v>
      </c>
      <c r="B65" s="75">
        <f t="shared" si="62"/>
        <v>0</v>
      </c>
      <c r="C65" s="75">
        <f t="shared" si="62"/>
        <v>0</v>
      </c>
      <c r="D65" s="75">
        <f t="shared" si="62"/>
        <v>0</v>
      </c>
      <c r="E65" s="75">
        <f t="shared" si="62"/>
        <v>0</v>
      </c>
      <c r="F65" s="75">
        <f t="shared" si="62"/>
        <v>0</v>
      </c>
      <c r="G65" s="75">
        <f t="shared" si="62"/>
        <v>0</v>
      </c>
      <c r="H65" s="75">
        <f t="shared" si="62"/>
        <v>0</v>
      </c>
      <c r="I65" s="75">
        <f t="shared" si="62"/>
        <v>0</v>
      </c>
      <c r="J65" s="75">
        <f t="shared" si="62"/>
        <v>0</v>
      </c>
      <c r="K65" s="75">
        <f t="shared" si="62"/>
        <v>0</v>
      </c>
      <c r="L65" s="75">
        <f t="shared" si="62"/>
        <v>0</v>
      </c>
      <c r="M65" s="75">
        <f t="shared" si="62"/>
        <v>0</v>
      </c>
      <c r="N65" s="75">
        <f t="shared" si="62"/>
        <v>0</v>
      </c>
      <c r="O65" s="75">
        <f t="shared" si="62"/>
        <v>0</v>
      </c>
      <c r="P65" s="264">
        <v>1019087</v>
      </c>
      <c r="Q65" s="77">
        <f t="shared" si="57"/>
        <v>0</v>
      </c>
      <c r="R65" s="77">
        <f t="shared" si="58"/>
        <v>0</v>
      </c>
      <c r="S65" s="77">
        <f t="shared" si="59"/>
        <v>0</v>
      </c>
      <c r="T65" s="77">
        <f t="shared" si="60"/>
        <v>0</v>
      </c>
      <c r="U65" s="77">
        <f t="shared" si="61"/>
        <v>0</v>
      </c>
      <c r="V65" s="77">
        <f>(L65+M65)*$P65*(1+$R$7)^5</f>
        <v>0</v>
      </c>
      <c r="W65" s="77">
        <f>(N65+O65)*$P65*(1+$R$7)^6</f>
        <v>0</v>
      </c>
      <c r="Y65" s="268">
        <v>50</v>
      </c>
    </row>
    <row r="66" spans="1:25" ht="13.5" hidden="1" customHeight="1" x14ac:dyDescent="0.25">
      <c r="A66" s="101"/>
      <c r="B66" s="75">
        <f t="shared" si="62"/>
        <v>0</v>
      </c>
      <c r="C66" s="75">
        <f t="shared" si="62"/>
        <v>0</v>
      </c>
      <c r="D66" s="75">
        <f t="shared" si="62"/>
        <v>0</v>
      </c>
      <c r="E66" s="75">
        <f t="shared" si="62"/>
        <v>0</v>
      </c>
      <c r="F66" s="75">
        <f t="shared" si="62"/>
        <v>0</v>
      </c>
      <c r="G66" s="75">
        <f t="shared" si="62"/>
        <v>0</v>
      </c>
      <c r="H66" s="75">
        <f t="shared" si="62"/>
        <v>0</v>
      </c>
      <c r="I66" s="75">
        <f t="shared" si="62"/>
        <v>0</v>
      </c>
      <c r="J66" s="75">
        <f t="shared" si="62"/>
        <v>0</v>
      </c>
      <c r="K66" s="75">
        <f t="shared" si="62"/>
        <v>0</v>
      </c>
      <c r="L66" s="75">
        <f t="shared" si="62"/>
        <v>0</v>
      </c>
      <c r="M66" s="75">
        <f t="shared" si="62"/>
        <v>0</v>
      </c>
      <c r="N66" s="75">
        <f t="shared" si="62"/>
        <v>0</v>
      </c>
      <c r="O66" s="75">
        <f t="shared" si="62"/>
        <v>0</v>
      </c>
      <c r="P66" s="76"/>
      <c r="Q66" s="77">
        <f t="shared" si="57"/>
        <v>0</v>
      </c>
      <c r="R66" s="77">
        <f t="shared" si="58"/>
        <v>0</v>
      </c>
      <c r="S66" s="77">
        <f t="shared" si="59"/>
        <v>0</v>
      </c>
      <c r="T66" s="77">
        <f t="shared" si="60"/>
        <v>0</v>
      </c>
      <c r="U66" s="77">
        <f t="shared" si="61"/>
        <v>0</v>
      </c>
      <c r="V66" s="77">
        <f>(K66+L66)*$P66*(1+$R$7)^4</f>
        <v>0</v>
      </c>
      <c r="W66" s="77">
        <f>(L66+M66)*$P66*(1+$R$7)^4</f>
        <v>0</v>
      </c>
      <c r="Y66" s="254"/>
    </row>
    <row r="67" spans="1:25" hidden="1" x14ac:dyDescent="0.25">
      <c r="A67" s="101"/>
      <c r="B67" s="75">
        <f t="shared" si="62"/>
        <v>0</v>
      </c>
      <c r="C67" s="75">
        <f t="shared" si="62"/>
        <v>0</v>
      </c>
      <c r="D67" s="75">
        <f t="shared" si="62"/>
        <v>0</v>
      </c>
      <c r="E67" s="75">
        <f t="shared" si="62"/>
        <v>0</v>
      </c>
      <c r="F67" s="75">
        <f t="shared" si="62"/>
        <v>0</v>
      </c>
      <c r="G67" s="75">
        <f t="shared" si="62"/>
        <v>0</v>
      </c>
      <c r="H67" s="75">
        <f t="shared" si="62"/>
        <v>0</v>
      </c>
      <c r="I67" s="75">
        <f t="shared" si="62"/>
        <v>0</v>
      </c>
      <c r="J67" s="75">
        <f t="shared" si="62"/>
        <v>0</v>
      </c>
      <c r="K67" s="75">
        <f t="shared" si="62"/>
        <v>0</v>
      </c>
      <c r="L67" s="75">
        <f t="shared" si="62"/>
        <v>0</v>
      </c>
      <c r="M67" s="75">
        <f t="shared" si="62"/>
        <v>0</v>
      </c>
      <c r="N67" s="75">
        <f t="shared" si="62"/>
        <v>0</v>
      </c>
      <c r="O67" s="75">
        <f t="shared" si="62"/>
        <v>0</v>
      </c>
      <c r="P67" s="76"/>
      <c r="Q67" s="77">
        <f t="shared" si="57"/>
        <v>0</v>
      </c>
      <c r="R67" s="77">
        <f t="shared" si="58"/>
        <v>0</v>
      </c>
      <c r="S67" s="77">
        <f t="shared" si="59"/>
        <v>0</v>
      </c>
      <c r="T67" s="77">
        <f t="shared" si="60"/>
        <v>0</v>
      </c>
      <c r="U67" s="77">
        <f t="shared" si="61"/>
        <v>0</v>
      </c>
      <c r="V67" s="77">
        <f>(K67+L67)*$P67*(1+$R$7)^4</f>
        <v>0</v>
      </c>
      <c r="W67" s="77">
        <f>(L67+M67)*$P67*(1+$R$7)^4</f>
        <v>0</v>
      </c>
      <c r="Y67" s="254"/>
    </row>
    <row r="68" spans="1:25" ht="15" x14ac:dyDescent="0.25">
      <c r="A68"/>
      <c r="P68" s="100" t="s">
        <v>141</v>
      </c>
      <c r="Q68" s="98">
        <f t="shared" ref="Q68:W68" si="63">SUM(Q61:Q67)</f>
        <v>0</v>
      </c>
      <c r="R68" s="98">
        <f t="shared" si="63"/>
        <v>0</v>
      </c>
      <c r="S68" s="98">
        <f t="shared" si="63"/>
        <v>0</v>
      </c>
      <c r="T68" s="98">
        <f t="shared" si="63"/>
        <v>0</v>
      </c>
      <c r="U68" s="98">
        <f t="shared" si="63"/>
        <v>0</v>
      </c>
      <c r="V68" s="98">
        <f t="shared" si="63"/>
        <v>0</v>
      </c>
      <c r="W68" s="98">
        <f t="shared" si="63"/>
        <v>0</v>
      </c>
      <c r="X68" s="69"/>
    </row>
    <row r="69" spans="1:25" ht="7.5" customHeight="1" x14ac:dyDescent="0.25"/>
    <row r="70" spans="1:25" ht="7.5" customHeight="1" x14ac:dyDescent="0.25"/>
    <row r="71" spans="1:25" ht="10.5" customHeight="1" x14ac:dyDescent="0.25">
      <c r="A71" s="417" t="s">
        <v>352</v>
      </c>
      <c r="B71" s="417"/>
      <c r="C71" s="417"/>
      <c r="D71" s="417"/>
      <c r="E71" s="417"/>
      <c r="F71" s="417"/>
    </row>
    <row r="72" spans="1:25" ht="10.5" customHeight="1" x14ac:dyDescent="0.25">
      <c r="A72" s="417"/>
      <c r="B72" s="417"/>
      <c r="C72" s="417"/>
      <c r="D72" s="417"/>
      <c r="E72" s="417"/>
      <c r="F72" s="417"/>
    </row>
    <row r="73" spans="1:25" ht="15" customHeight="1" x14ac:dyDescent="0.25">
      <c r="A73" s="409" t="s">
        <v>137</v>
      </c>
      <c r="B73" s="405">
        <f>B$12</f>
        <v>2027</v>
      </c>
      <c r="C73" s="406"/>
      <c r="D73" s="405">
        <f>D$12</f>
        <v>2028</v>
      </c>
      <c r="E73" s="406"/>
      <c r="F73" s="405">
        <f>F$12</f>
        <v>2029</v>
      </c>
      <c r="G73" s="406"/>
      <c r="H73" s="405">
        <f>H$12</f>
        <v>2030</v>
      </c>
      <c r="I73" s="406"/>
      <c r="J73" s="405">
        <f>J$12</f>
        <v>2031</v>
      </c>
      <c r="K73" s="406"/>
      <c r="L73" s="405">
        <f>L$12</f>
        <v>2032</v>
      </c>
      <c r="M73" s="406"/>
      <c r="N73" s="405">
        <f>N$12</f>
        <v>2033</v>
      </c>
      <c r="O73" s="406"/>
      <c r="Q73" s="389">
        <f>Q$12</f>
        <v>2027</v>
      </c>
      <c r="R73" s="389">
        <f t="shared" ref="R73:W73" si="64">R$12</f>
        <v>2028</v>
      </c>
      <c r="S73" s="389">
        <f t="shared" si="64"/>
        <v>2029</v>
      </c>
      <c r="T73" s="389">
        <f t="shared" si="64"/>
        <v>2030</v>
      </c>
      <c r="U73" s="389">
        <f t="shared" si="64"/>
        <v>2031</v>
      </c>
      <c r="V73" s="389">
        <f t="shared" si="64"/>
        <v>2032</v>
      </c>
      <c r="W73" s="389">
        <f t="shared" si="64"/>
        <v>2033</v>
      </c>
    </row>
    <row r="74" spans="1:25" ht="26.25" customHeight="1" x14ac:dyDescent="0.25">
      <c r="A74" s="410"/>
      <c r="B74" s="73" t="str">
        <f t="shared" ref="B74:O74" si="65">B$13</f>
        <v>PERIODO A</v>
      </c>
      <c r="C74" s="73" t="str">
        <f t="shared" si="65"/>
        <v>PERIODO B</v>
      </c>
      <c r="D74" s="73" t="str">
        <f t="shared" si="65"/>
        <v>PERIODO A</v>
      </c>
      <c r="E74" s="73" t="str">
        <f t="shared" si="65"/>
        <v>PERIODO B</v>
      </c>
      <c r="F74" s="73" t="str">
        <f t="shared" si="65"/>
        <v>PERIODO A</v>
      </c>
      <c r="G74" s="73" t="str">
        <f t="shared" si="65"/>
        <v>PERIODO B</v>
      </c>
      <c r="H74" s="73" t="str">
        <f t="shared" si="65"/>
        <v>PERIODO A</v>
      </c>
      <c r="I74" s="73" t="str">
        <f t="shared" si="65"/>
        <v>PERIODO B</v>
      </c>
      <c r="J74" s="73" t="str">
        <f t="shared" si="65"/>
        <v>PERIODO A</v>
      </c>
      <c r="K74" s="73" t="str">
        <f t="shared" si="65"/>
        <v>PERIODO B</v>
      </c>
      <c r="L74" s="73" t="str">
        <f t="shared" si="65"/>
        <v>PERIODO A</v>
      </c>
      <c r="M74" s="73" t="str">
        <f t="shared" si="65"/>
        <v>PERIODO B</v>
      </c>
      <c r="N74" s="73" t="str">
        <f t="shared" si="65"/>
        <v>PERIODO A</v>
      </c>
      <c r="O74" s="73" t="str">
        <f t="shared" si="65"/>
        <v>PERIODO B</v>
      </c>
      <c r="Q74" s="387"/>
      <c r="R74" s="387"/>
      <c r="S74" s="387"/>
      <c r="T74" s="387"/>
      <c r="U74" s="387"/>
      <c r="V74" s="387"/>
      <c r="W74" s="387"/>
    </row>
    <row r="75" spans="1:25" x14ac:dyDescent="0.25">
      <c r="A75" s="74"/>
      <c r="B75" s="104">
        <f>IF($A$7="POSTGRADO",0,COUNTIF(B36:B46,"&gt;0")*1.5)</f>
        <v>0</v>
      </c>
      <c r="C75" s="104">
        <f t="shared" ref="C75:O75" si="66">IF($A$7="POSTGRADO",0,COUNTIF(C36:C46,"&gt;0")*1.5)</f>
        <v>0</v>
      </c>
      <c r="D75" s="104">
        <f t="shared" si="66"/>
        <v>0</v>
      </c>
      <c r="E75" s="104">
        <f t="shared" si="66"/>
        <v>0</v>
      </c>
      <c r="F75" s="104">
        <f t="shared" si="66"/>
        <v>0</v>
      </c>
      <c r="G75" s="104">
        <f t="shared" si="66"/>
        <v>0</v>
      </c>
      <c r="H75" s="104">
        <f t="shared" si="66"/>
        <v>0</v>
      </c>
      <c r="I75" s="104">
        <f t="shared" si="66"/>
        <v>0</v>
      </c>
      <c r="J75" s="104">
        <f t="shared" si="66"/>
        <v>0</v>
      </c>
      <c r="K75" s="104">
        <f t="shared" si="66"/>
        <v>0</v>
      </c>
      <c r="L75" s="104">
        <f t="shared" si="66"/>
        <v>0</v>
      </c>
      <c r="M75" s="104">
        <f t="shared" si="66"/>
        <v>0</v>
      </c>
      <c r="N75" s="104">
        <f t="shared" si="66"/>
        <v>0</v>
      </c>
      <c r="O75" s="104">
        <f t="shared" si="66"/>
        <v>0</v>
      </c>
      <c r="Q75" s="77">
        <f>(B75+C75)*Q$32</f>
        <v>0</v>
      </c>
      <c r="R75" s="77">
        <f>(D75+E75)*R$32</f>
        <v>0</v>
      </c>
      <c r="S75" s="77">
        <f>(F75+G75)*S$32</f>
        <v>0</v>
      </c>
      <c r="T75" s="77">
        <f>(H75+I75)*T$32</f>
        <v>0</v>
      </c>
      <c r="U75" s="77">
        <f>(J75+K75)*U$32</f>
        <v>0</v>
      </c>
      <c r="V75" s="77">
        <f>(L75+M75)*V$32</f>
        <v>0</v>
      </c>
      <c r="W75" s="77">
        <f>(N75+O75)*W$32</f>
        <v>0</v>
      </c>
      <c r="Y75" s="105">
        <f>IF(SUM(Q47:W47)&gt;0,SUM(Q75:W75)/SUM(Q47:W47),0)</f>
        <v>0</v>
      </c>
    </row>
    <row r="76" spans="1:25" ht="7.5" customHeight="1" x14ac:dyDescent="0.25">
      <c r="L76" s="83"/>
      <c r="M76" s="83"/>
      <c r="N76" s="83"/>
    </row>
    <row r="77" spans="1:25" ht="7.5" customHeight="1" x14ac:dyDescent="0.25"/>
    <row r="78" spans="1:25" ht="13.5" customHeight="1" x14ac:dyDescent="0.25">
      <c r="A78" s="417" t="s">
        <v>178</v>
      </c>
      <c r="B78" s="417"/>
      <c r="C78" s="417"/>
      <c r="D78" s="417"/>
      <c r="E78" s="417"/>
      <c r="F78" s="417"/>
    </row>
    <row r="79" spans="1:25" ht="13.5" customHeight="1" x14ac:dyDescent="0.25">
      <c r="A79" s="417"/>
      <c r="B79" s="417"/>
      <c r="C79" s="417"/>
      <c r="D79" s="417"/>
      <c r="E79" s="417"/>
      <c r="F79" s="417"/>
    </row>
    <row r="80" spans="1:25" ht="15" customHeight="1" x14ac:dyDescent="0.25">
      <c r="A80" s="387" t="s">
        <v>137</v>
      </c>
      <c r="B80" s="389">
        <f>B$12</f>
        <v>2027</v>
      </c>
      <c r="C80" s="387"/>
      <c r="D80" s="389">
        <f>D$12</f>
        <v>2028</v>
      </c>
      <c r="E80" s="387"/>
      <c r="F80" s="389">
        <f>F$12</f>
        <v>2029</v>
      </c>
      <c r="G80" s="387"/>
      <c r="H80" s="389">
        <f>H$12</f>
        <v>2030</v>
      </c>
      <c r="I80" s="387"/>
      <c r="J80" s="389">
        <f>J$12</f>
        <v>2031</v>
      </c>
      <c r="K80" s="387"/>
      <c r="L80" s="389">
        <f>L$12</f>
        <v>2032</v>
      </c>
      <c r="M80" s="387"/>
      <c r="N80" s="389">
        <f>N$12</f>
        <v>2033</v>
      </c>
      <c r="O80" s="387"/>
      <c r="P80" s="387" t="s">
        <v>360</v>
      </c>
      <c r="Q80" s="389">
        <f>Q$12</f>
        <v>2027</v>
      </c>
      <c r="R80" s="389">
        <f t="shared" ref="R80:W80" si="67">R$12</f>
        <v>2028</v>
      </c>
      <c r="S80" s="389">
        <f t="shared" si="67"/>
        <v>2029</v>
      </c>
      <c r="T80" s="389">
        <f t="shared" si="67"/>
        <v>2030</v>
      </c>
      <c r="U80" s="389">
        <f t="shared" si="67"/>
        <v>2031</v>
      </c>
      <c r="V80" s="389">
        <f t="shared" si="67"/>
        <v>2032</v>
      </c>
      <c r="W80" s="389">
        <f t="shared" si="67"/>
        <v>2033</v>
      </c>
    </row>
    <row r="81" spans="1:23" ht="25.5" customHeight="1" x14ac:dyDescent="0.25">
      <c r="A81" s="387"/>
      <c r="B81" s="73" t="str">
        <f t="shared" ref="B81:O81" si="68">B$13</f>
        <v>PERIODO A</v>
      </c>
      <c r="C81" s="73" t="str">
        <f t="shared" si="68"/>
        <v>PERIODO B</v>
      </c>
      <c r="D81" s="73" t="str">
        <f t="shared" si="68"/>
        <v>PERIODO A</v>
      </c>
      <c r="E81" s="73" t="str">
        <f t="shared" si="68"/>
        <v>PERIODO B</v>
      </c>
      <c r="F81" s="73" t="str">
        <f t="shared" si="68"/>
        <v>PERIODO A</v>
      </c>
      <c r="G81" s="73" t="str">
        <f t="shared" si="68"/>
        <v>PERIODO B</v>
      </c>
      <c r="H81" s="73" t="str">
        <f t="shared" si="68"/>
        <v>PERIODO A</v>
      </c>
      <c r="I81" s="73" t="str">
        <f t="shared" si="68"/>
        <v>PERIODO B</v>
      </c>
      <c r="J81" s="73" t="str">
        <f t="shared" si="68"/>
        <v>PERIODO A</v>
      </c>
      <c r="K81" s="73" t="str">
        <f t="shared" si="68"/>
        <v>PERIODO B</v>
      </c>
      <c r="L81" s="73" t="str">
        <f t="shared" si="68"/>
        <v>PERIODO A</v>
      </c>
      <c r="M81" s="73" t="str">
        <f t="shared" si="68"/>
        <v>PERIODO B</v>
      </c>
      <c r="N81" s="73" t="str">
        <f t="shared" si="68"/>
        <v>PERIODO A</v>
      </c>
      <c r="O81" s="73" t="str">
        <f t="shared" si="68"/>
        <v>PERIODO B</v>
      </c>
      <c r="P81" s="387"/>
      <c r="Q81" s="387"/>
      <c r="R81" s="387"/>
      <c r="S81" s="387"/>
      <c r="T81" s="387"/>
      <c r="U81" s="387"/>
      <c r="V81" s="387"/>
      <c r="W81" s="387"/>
    </row>
    <row r="82" spans="1:23" ht="22.5" customHeight="1" x14ac:dyDescent="0.25">
      <c r="A82" s="74" t="s">
        <v>9</v>
      </c>
      <c r="B82" s="265"/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4"/>
      <c r="Q82" s="77">
        <f>(B82+C82)*$P82</f>
        <v>0</v>
      </c>
      <c r="R82" s="77">
        <f>(D82+E82)*$P82*(1+$R$7)</f>
        <v>0</v>
      </c>
      <c r="S82" s="77">
        <f>(F82+G82)*$P82*(1+$R$7)^2</f>
        <v>0</v>
      </c>
      <c r="T82" s="77">
        <f>(H82+I82)*$P82*(1+$R$7)^3</f>
        <v>0</v>
      </c>
      <c r="U82" s="77">
        <f>(J82+K82)*$P82*(1+$R$7)^4</f>
        <v>0</v>
      </c>
      <c r="V82" s="77">
        <f>(L82+M82)*$P82*(1+$R$7)^5</f>
        <v>0</v>
      </c>
      <c r="W82" s="77">
        <f>(N82+O82)*$P82*(1+$R$7)^6</f>
        <v>0</v>
      </c>
    </row>
    <row r="83" spans="1:23" ht="33" customHeight="1" x14ac:dyDescent="0.25">
      <c r="A83" s="74" t="s">
        <v>52</v>
      </c>
      <c r="B83" s="265"/>
      <c r="C83" s="265"/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265"/>
      <c r="O83" s="265"/>
      <c r="P83" s="264"/>
      <c r="Q83" s="77">
        <f>(B83+C83)*$P83</f>
        <v>0</v>
      </c>
      <c r="R83" s="77">
        <f>(D83+E83)*$P83*(1+$R$7)</f>
        <v>0</v>
      </c>
      <c r="S83" s="77">
        <f>(F83+G83)*$P83*(1+$R$7)^2</f>
        <v>0</v>
      </c>
      <c r="T83" s="77">
        <f>(H83+I83)*$P83*(1+$R$7)^3</f>
        <v>0</v>
      </c>
      <c r="U83" s="77">
        <f>(J83+K83)*$P83*(1+$R$7)^4</f>
        <v>0</v>
      </c>
      <c r="V83" s="77">
        <f>(L83+M83)*$P83*(1+$R$7)^5</f>
        <v>0</v>
      </c>
      <c r="W83" s="77">
        <f>(N83+O83)*$P83*(1+$R$7)^6</f>
        <v>0</v>
      </c>
    </row>
    <row r="84" spans="1:23" ht="7.5" customHeight="1" x14ac:dyDescent="0.25"/>
    <row r="85" spans="1:23" ht="7.5" customHeight="1" thickBot="1" x14ac:dyDescent="0.3"/>
    <row r="86" spans="1:23" ht="13.5" customHeight="1" thickTop="1" x14ac:dyDescent="0.25">
      <c r="A86" s="411" t="s">
        <v>179</v>
      </c>
      <c r="B86" s="412"/>
      <c r="C86" s="412"/>
      <c r="D86" s="412"/>
      <c r="E86" s="412"/>
      <c r="F86" s="413"/>
    </row>
    <row r="87" spans="1:23" ht="13.5" customHeight="1" x14ac:dyDescent="0.25">
      <c r="A87" s="414"/>
      <c r="B87" s="415"/>
      <c r="C87" s="415"/>
      <c r="D87" s="415"/>
      <c r="E87" s="415"/>
      <c r="F87" s="416"/>
    </row>
    <row r="88" spans="1:23" ht="15" customHeight="1" x14ac:dyDescent="0.25">
      <c r="A88" s="409" t="s">
        <v>180</v>
      </c>
      <c r="B88" s="405">
        <f>B$12</f>
        <v>2027</v>
      </c>
      <c r="C88" s="406"/>
      <c r="D88" s="405">
        <f>D$12</f>
        <v>2028</v>
      </c>
      <c r="E88" s="406"/>
      <c r="F88" s="405">
        <f>F$12</f>
        <v>2029</v>
      </c>
      <c r="G88" s="406"/>
      <c r="H88" s="405">
        <f>H$12</f>
        <v>2030</v>
      </c>
      <c r="I88" s="406"/>
      <c r="J88" s="405">
        <f>J$12</f>
        <v>2031</v>
      </c>
      <c r="K88" s="406"/>
      <c r="L88" s="405">
        <f>L$12</f>
        <v>2032</v>
      </c>
      <c r="M88" s="406"/>
      <c r="N88" s="405">
        <f>N$12</f>
        <v>2033</v>
      </c>
      <c r="O88" s="406"/>
      <c r="P88" s="407" t="s">
        <v>360</v>
      </c>
      <c r="Q88" s="401">
        <f>Q$12</f>
        <v>2027</v>
      </c>
      <c r="R88" s="401">
        <f t="shared" ref="R88:W88" si="69">R$12</f>
        <v>2028</v>
      </c>
      <c r="S88" s="401">
        <f t="shared" si="69"/>
        <v>2029</v>
      </c>
      <c r="T88" s="401">
        <f t="shared" si="69"/>
        <v>2030</v>
      </c>
      <c r="U88" s="401">
        <f t="shared" si="69"/>
        <v>2031</v>
      </c>
      <c r="V88" s="401">
        <f t="shared" si="69"/>
        <v>2032</v>
      </c>
      <c r="W88" s="401">
        <f t="shared" si="69"/>
        <v>2033</v>
      </c>
    </row>
    <row r="89" spans="1:23" ht="28.5" customHeight="1" x14ac:dyDescent="0.25">
      <c r="A89" s="410"/>
      <c r="B89" s="73" t="str">
        <f t="shared" ref="B89:O89" si="70">B$13</f>
        <v>PERIODO A</v>
      </c>
      <c r="C89" s="73" t="str">
        <f t="shared" si="70"/>
        <v>PERIODO B</v>
      </c>
      <c r="D89" s="73" t="str">
        <f t="shared" si="70"/>
        <v>PERIODO A</v>
      </c>
      <c r="E89" s="73" t="str">
        <f t="shared" si="70"/>
        <v>PERIODO B</v>
      </c>
      <c r="F89" s="73" t="str">
        <f t="shared" si="70"/>
        <v>PERIODO A</v>
      </c>
      <c r="G89" s="73" t="str">
        <f t="shared" si="70"/>
        <v>PERIODO B</v>
      </c>
      <c r="H89" s="73" t="str">
        <f t="shared" si="70"/>
        <v>PERIODO A</v>
      </c>
      <c r="I89" s="73" t="str">
        <f t="shared" si="70"/>
        <v>PERIODO B</v>
      </c>
      <c r="J89" s="73" t="str">
        <f t="shared" si="70"/>
        <v>PERIODO A</v>
      </c>
      <c r="K89" s="73" t="str">
        <f t="shared" si="70"/>
        <v>PERIODO B</v>
      </c>
      <c r="L89" s="73" t="str">
        <f t="shared" si="70"/>
        <v>PERIODO A</v>
      </c>
      <c r="M89" s="73" t="str">
        <f t="shared" si="70"/>
        <v>PERIODO B</v>
      </c>
      <c r="N89" s="73" t="str">
        <f t="shared" si="70"/>
        <v>PERIODO A</v>
      </c>
      <c r="O89" s="73" t="str">
        <f t="shared" si="70"/>
        <v>PERIODO B</v>
      </c>
      <c r="P89" s="408"/>
      <c r="Q89" s="402"/>
      <c r="R89" s="402"/>
      <c r="S89" s="402"/>
      <c r="T89" s="402"/>
      <c r="U89" s="402"/>
      <c r="V89" s="402"/>
      <c r="W89" s="402"/>
    </row>
    <row r="90" spans="1:23" ht="39" customHeight="1" x14ac:dyDescent="0.25">
      <c r="A90" s="74" t="s">
        <v>97</v>
      </c>
      <c r="B90" s="265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4"/>
      <c r="Q90" s="77">
        <f>(B90+C90)*$P90</f>
        <v>0</v>
      </c>
      <c r="R90" s="77">
        <f>(D90+E90)*$P90*(1+$R$7)</f>
        <v>0</v>
      </c>
      <c r="S90" s="77">
        <f>(F90+G90)*$P90*(1+$R$7)^2</f>
        <v>0</v>
      </c>
      <c r="T90" s="77">
        <f>(H90+I90)*$P90*(1+$R$7)^3</f>
        <v>0</v>
      </c>
      <c r="U90" s="77">
        <f>(J90+K90)*$P90*(1+$R$7)^4</f>
        <v>0</v>
      </c>
      <c r="V90" s="77">
        <f>(L90+M90)*$P90*(1+$R$7)^5</f>
        <v>0</v>
      </c>
      <c r="W90" s="77">
        <f>(N90+O90)*$P90*(1+$R$7)^6</f>
        <v>0</v>
      </c>
    </row>
    <row r="91" spans="1:23" ht="30" customHeight="1" x14ac:dyDescent="0.25">
      <c r="A91" s="74" t="s">
        <v>98</v>
      </c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4"/>
      <c r="Q91" s="77">
        <f>(B91+C91)*$P91</f>
        <v>0</v>
      </c>
      <c r="R91" s="77">
        <f>(D91+E91)*$P91*(1+$R$7)</f>
        <v>0</v>
      </c>
      <c r="S91" s="77">
        <f>(F91+G91)*$P91*(1+$R$7)^2</f>
        <v>0</v>
      </c>
      <c r="T91" s="77">
        <f>(H91+I91)*$P91*(1+$R$7)^3</f>
        <v>0</v>
      </c>
      <c r="U91" s="77">
        <f>(J91+K91)*$P91*(1+$R$7)^4</f>
        <v>0</v>
      </c>
      <c r="V91" s="77">
        <f>(L91+M91)*$P91*(1+$R$7)^5</f>
        <v>0</v>
      </c>
      <c r="W91" s="77">
        <f>(N91+O91)*$P91*(1+$R$7)^6</f>
        <v>0</v>
      </c>
    </row>
    <row r="92" spans="1:23" ht="44.25" customHeight="1" x14ac:dyDescent="0.25">
      <c r="A92" s="74" t="s">
        <v>94</v>
      </c>
      <c r="B92" s="265"/>
      <c r="C92" s="265"/>
      <c r="D92" s="265"/>
      <c r="E92" s="265"/>
      <c r="F92" s="265"/>
      <c r="G92" s="265"/>
      <c r="H92" s="265"/>
      <c r="I92" s="265"/>
      <c r="J92" s="265"/>
      <c r="K92" s="265"/>
      <c r="L92" s="265"/>
      <c r="M92" s="265"/>
      <c r="N92" s="265"/>
      <c r="O92" s="265"/>
      <c r="P92" s="264"/>
      <c r="Q92" s="77">
        <f>(B92+C92)*$P92</f>
        <v>0</v>
      </c>
      <c r="R92" s="77">
        <f>(D92+E92)*$P92*(1+$R$7)</f>
        <v>0</v>
      </c>
      <c r="S92" s="77">
        <f>(F92+G92)*$P92*(1+$R$7)^2</f>
        <v>0</v>
      </c>
      <c r="T92" s="77">
        <f>(H92+I92)*$P92*(1+$R$7)^3</f>
        <v>0</v>
      </c>
      <c r="U92" s="77">
        <f>(J92+K92)*$P92*(1+$R$7)^4</f>
        <v>0</v>
      </c>
      <c r="V92" s="77">
        <f>(L92+M92)*$P92*(1+$R$7)^5</f>
        <v>0</v>
      </c>
      <c r="W92" s="77">
        <f>(N92+O92)*$P92*(1+$R$7)^6</f>
        <v>0</v>
      </c>
    </row>
    <row r="93" spans="1:23" ht="37.5" customHeight="1" x14ac:dyDescent="0.25">
      <c r="A93" s="74" t="s">
        <v>96</v>
      </c>
      <c r="B93" s="265"/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4"/>
      <c r="Q93" s="77">
        <f>(B93+C93)*$P93</f>
        <v>0</v>
      </c>
      <c r="R93" s="77">
        <f>(D93+E93)*$P93*(1+$R$7)</f>
        <v>0</v>
      </c>
      <c r="S93" s="77">
        <f>(F93+G93)*$P93*(1+$R$7)^2</f>
        <v>0</v>
      </c>
      <c r="T93" s="77">
        <f>(H93+I93)*$P93*(1+$R$7)^3</f>
        <v>0</v>
      </c>
      <c r="U93" s="77">
        <f>(J93+K93)*$P93*(1+$R$7)^4</f>
        <v>0</v>
      </c>
      <c r="V93" s="77">
        <f>(L93+M93)*$P93*(1+$R$7)^5</f>
        <v>0</v>
      </c>
      <c r="W93" s="77">
        <f>(N93+O93)*$P93*(1+$R$7)^6</f>
        <v>0</v>
      </c>
    </row>
    <row r="94" spans="1:23" ht="42.75" customHeight="1" x14ac:dyDescent="0.25">
      <c r="A94" s="74" t="s">
        <v>95</v>
      </c>
      <c r="B94" s="265"/>
      <c r="C94" s="265"/>
      <c r="D94" s="265"/>
      <c r="E94" s="265"/>
      <c r="F94" s="265"/>
      <c r="G94" s="265"/>
      <c r="H94" s="265"/>
      <c r="I94" s="265"/>
      <c r="J94" s="265"/>
      <c r="K94" s="265"/>
      <c r="L94" s="265"/>
      <c r="M94" s="265"/>
      <c r="N94" s="265"/>
      <c r="O94" s="265"/>
      <c r="P94" s="264"/>
      <c r="Q94" s="77">
        <f>D94*P94</f>
        <v>0</v>
      </c>
      <c r="R94" s="77">
        <f t="shared" ref="R94:W95" si="71">P94*Q94</f>
        <v>0</v>
      </c>
      <c r="S94" s="77">
        <f t="shared" si="71"/>
        <v>0</v>
      </c>
      <c r="T94" s="77">
        <f t="shared" si="71"/>
        <v>0</v>
      </c>
      <c r="U94" s="77">
        <f t="shared" si="71"/>
        <v>0</v>
      </c>
      <c r="V94" s="77">
        <f t="shared" si="71"/>
        <v>0</v>
      </c>
      <c r="W94" s="77">
        <f t="shared" si="71"/>
        <v>0</v>
      </c>
    </row>
    <row r="95" spans="1:23" ht="23.45" customHeight="1" x14ac:dyDescent="0.25">
      <c r="A95" s="74" t="s">
        <v>93</v>
      </c>
      <c r="B95" s="265"/>
      <c r="C95" s="265"/>
      <c r="D95" s="265"/>
      <c r="E95" s="265"/>
      <c r="F95" s="265"/>
      <c r="G95" s="265"/>
      <c r="H95" s="265"/>
      <c r="I95" s="265"/>
      <c r="J95" s="265"/>
      <c r="K95" s="265"/>
      <c r="L95" s="265"/>
      <c r="M95" s="265"/>
      <c r="N95" s="265"/>
      <c r="O95" s="265"/>
      <c r="P95" s="265"/>
      <c r="Q95" s="77">
        <f>D95*P95</f>
        <v>0</v>
      </c>
      <c r="R95" s="77">
        <f t="shared" si="71"/>
        <v>0</v>
      </c>
      <c r="S95" s="77">
        <f t="shared" si="71"/>
        <v>0</v>
      </c>
      <c r="T95" s="77">
        <f t="shared" si="71"/>
        <v>0</v>
      </c>
      <c r="U95" s="77">
        <f t="shared" si="71"/>
        <v>0</v>
      </c>
      <c r="V95" s="77">
        <f t="shared" si="71"/>
        <v>0</v>
      </c>
      <c r="W95" s="77">
        <f t="shared" si="71"/>
        <v>0</v>
      </c>
    </row>
    <row r="96" spans="1:23" ht="12" customHeight="1" x14ac:dyDescent="0.25"/>
    <row r="103" spans="1:3" ht="15" hidden="1" customHeight="1" outlineLevel="1" x14ac:dyDescent="0.25">
      <c r="A103" s="68" t="s">
        <v>167</v>
      </c>
      <c r="C103" s="68" t="s">
        <v>177</v>
      </c>
    </row>
    <row r="104" spans="1:3" ht="15" hidden="1" customHeight="1" outlineLevel="1" x14ac:dyDescent="0.25"/>
    <row r="105" spans="1:3" ht="15" hidden="1" customHeight="1" outlineLevel="1" x14ac:dyDescent="0.25">
      <c r="A105" s="68" t="s">
        <v>163</v>
      </c>
      <c r="B105" s="84">
        <v>0.15</v>
      </c>
      <c r="C105" s="68" t="s">
        <v>172</v>
      </c>
    </row>
    <row r="106" spans="1:3" ht="15" hidden="1" customHeight="1" outlineLevel="1" x14ac:dyDescent="0.25">
      <c r="A106" s="68" t="s">
        <v>392</v>
      </c>
      <c r="B106" s="84">
        <v>0.2</v>
      </c>
      <c r="C106" s="68" t="s">
        <v>170</v>
      </c>
    </row>
    <row r="107" spans="1:3" ht="15" hidden="1" customHeight="1" outlineLevel="1" x14ac:dyDescent="0.25">
      <c r="A107" s="68" t="s">
        <v>417</v>
      </c>
      <c r="B107" s="84">
        <v>0.35</v>
      </c>
      <c r="C107" s="68" t="s">
        <v>171</v>
      </c>
    </row>
    <row r="108" spans="1:3" ht="15" hidden="1" customHeight="1" outlineLevel="1" x14ac:dyDescent="0.25">
      <c r="A108" s="68" t="s">
        <v>164</v>
      </c>
      <c r="B108" s="84">
        <v>0.25</v>
      </c>
      <c r="C108" s="68" t="s">
        <v>173</v>
      </c>
    </row>
    <row r="109" spans="1:3" ht="15" hidden="1" customHeight="1" outlineLevel="1" x14ac:dyDescent="0.25">
      <c r="A109" s="68" t="s">
        <v>165</v>
      </c>
      <c r="B109" s="84"/>
      <c r="C109" s="68" t="s">
        <v>174</v>
      </c>
    </row>
    <row r="110" spans="1:3" ht="15" hidden="1" customHeight="1" outlineLevel="1" x14ac:dyDescent="0.25">
      <c r="A110" s="68" t="s">
        <v>166</v>
      </c>
      <c r="B110" s="84"/>
      <c r="C110" s="68" t="s">
        <v>175</v>
      </c>
    </row>
    <row r="111" spans="1:3" ht="15" hidden="1" customHeight="1" outlineLevel="1" x14ac:dyDescent="0.25">
      <c r="C111" s="68" t="s">
        <v>176</v>
      </c>
    </row>
    <row r="112" spans="1:3" collapsed="1" x14ac:dyDescent="0.25"/>
  </sheetData>
  <sheetProtection formatCells="0" formatColumns="0" formatRows="0" insertRows="0" deleteRows="0"/>
  <mergeCells count="150">
    <mergeCell ref="L52:M52"/>
    <mergeCell ref="J73:K73"/>
    <mergeCell ref="L73:M73"/>
    <mergeCell ref="D33:E33"/>
    <mergeCell ref="Q19:Q20"/>
    <mergeCell ref="B32:K32"/>
    <mergeCell ref="B33:C33"/>
    <mergeCell ref="J52:K52"/>
    <mergeCell ref="B59:C59"/>
    <mergeCell ref="H59:I59"/>
    <mergeCell ref="D59:E59"/>
    <mergeCell ref="F59:G59"/>
    <mergeCell ref="F52:G52"/>
    <mergeCell ref="H52:I52"/>
    <mergeCell ref="J59:K59"/>
    <mergeCell ref="N33:O33"/>
    <mergeCell ref="P19:P20"/>
    <mergeCell ref="D52:E52"/>
    <mergeCell ref="A71:F72"/>
    <mergeCell ref="L33:M33"/>
    <mergeCell ref="F33:G33"/>
    <mergeCell ref="H33:I33"/>
    <mergeCell ref="J33:K33"/>
    <mergeCell ref="S73:S74"/>
    <mergeCell ref="T73:T74"/>
    <mergeCell ref="B88:C88"/>
    <mergeCell ref="D88:E88"/>
    <mergeCell ref="F88:G88"/>
    <mergeCell ref="N12:O12"/>
    <mergeCell ref="B19:C19"/>
    <mergeCell ref="D19:E19"/>
    <mergeCell ref="F19:G19"/>
    <mergeCell ref="H19:I19"/>
    <mergeCell ref="J19:K19"/>
    <mergeCell ref="L19:M19"/>
    <mergeCell ref="A17:F18"/>
    <mergeCell ref="A19:A20"/>
    <mergeCell ref="A50:F51"/>
    <mergeCell ref="A57:F58"/>
    <mergeCell ref="A59:A60"/>
    <mergeCell ref="B52:C52"/>
    <mergeCell ref="A52:A53"/>
    <mergeCell ref="H88:I88"/>
    <mergeCell ref="J88:K88"/>
    <mergeCell ref="L88:M88"/>
    <mergeCell ref="J12:K12"/>
    <mergeCell ref="P33:P34"/>
    <mergeCell ref="L12:M12"/>
    <mergeCell ref="A88:A89"/>
    <mergeCell ref="P88:P89"/>
    <mergeCell ref="Q88:Q89"/>
    <mergeCell ref="Q73:Q74"/>
    <mergeCell ref="A86:F87"/>
    <mergeCell ref="A73:A74"/>
    <mergeCell ref="A80:A81"/>
    <mergeCell ref="N80:O80"/>
    <mergeCell ref="A78:F79"/>
    <mergeCell ref="P80:P81"/>
    <mergeCell ref="Q80:Q81"/>
    <mergeCell ref="B80:C80"/>
    <mergeCell ref="D80:E80"/>
    <mergeCell ref="F80:G80"/>
    <mergeCell ref="H80:I80"/>
    <mergeCell ref="J80:K80"/>
    <mergeCell ref="L80:M80"/>
    <mergeCell ref="B73:C73"/>
    <mergeCell ref="D73:E73"/>
    <mergeCell ref="F73:G73"/>
    <mergeCell ref="H73:I73"/>
    <mergeCell ref="Q33:Q34"/>
    <mergeCell ref="A33:A34"/>
    <mergeCell ref="S88:S89"/>
    <mergeCell ref="T88:T89"/>
    <mergeCell ref="U88:U89"/>
    <mergeCell ref="R80:R81"/>
    <mergeCell ref="R73:R74"/>
    <mergeCell ref="N52:O52"/>
    <mergeCell ref="L59:M59"/>
    <mergeCell ref="N59:O59"/>
    <mergeCell ref="S59:S60"/>
    <mergeCell ref="T59:T60"/>
    <mergeCell ref="U59:U60"/>
    <mergeCell ref="Q52:Q53"/>
    <mergeCell ref="R59:R60"/>
    <mergeCell ref="P59:P60"/>
    <mergeCell ref="Q59:Q60"/>
    <mergeCell ref="R52:R53"/>
    <mergeCell ref="N73:O73"/>
    <mergeCell ref="N88:O88"/>
    <mergeCell ref="U73:U74"/>
    <mergeCell ref="U80:U81"/>
    <mergeCell ref="P52:P53"/>
    <mergeCell ref="R88:R89"/>
    <mergeCell ref="S80:S81"/>
    <mergeCell ref="T80:T81"/>
    <mergeCell ref="W88:W89"/>
    <mergeCell ref="W73:W74"/>
    <mergeCell ref="W52:W53"/>
    <mergeCell ref="V59:V60"/>
    <mergeCell ref="W59:W60"/>
    <mergeCell ref="W80:W81"/>
    <mergeCell ref="V80:V81"/>
    <mergeCell ref="V73:V74"/>
    <mergeCell ref="V88:V89"/>
    <mergeCell ref="Y52:Z53"/>
    <mergeCell ref="Y2:AA2"/>
    <mergeCell ref="Y3:AA3"/>
    <mergeCell ref="Y4:AA4"/>
    <mergeCell ref="Y59:Y60"/>
    <mergeCell ref="S52:S53"/>
    <mergeCell ref="T52:T53"/>
    <mergeCell ref="U52:U53"/>
    <mergeCell ref="V52:V53"/>
    <mergeCell ref="S12:S13"/>
    <mergeCell ref="R19:R20"/>
    <mergeCell ref="R12:R13"/>
    <mergeCell ref="S19:S20"/>
    <mergeCell ref="V12:V13"/>
    <mergeCell ref="W12:W13"/>
    <mergeCell ref="V33:V34"/>
    <mergeCell ref="W33:W34"/>
    <mergeCell ref="T33:T34"/>
    <mergeCell ref="W19:W20"/>
    <mergeCell ref="T12:T13"/>
    <mergeCell ref="U12:U13"/>
    <mergeCell ref="R33:R34"/>
    <mergeCell ref="A2:D4"/>
    <mergeCell ref="E2:H4"/>
    <mergeCell ref="I2:X3"/>
    <mergeCell ref="I4:X4"/>
    <mergeCell ref="Y12:Y13"/>
    <mergeCell ref="Z12:Z13"/>
    <mergeCell ref="S33:S34"/>
    <mergeCell ref="A6:F6"/>
    <mergeCell ref="A12:A13"/>
    <mergeCell ref="P12:P13"/>
    <mergeCell ref="Q12:Q13"/>
    <mergeCell ref="A7:F7"/>
    <mergeCell ref="A10:F11"/>
    <mergeCell ref="N19:O19"/>
    <mergeCell ref="I6:M7"/>
    <mergeCell ref="A30:F31"/>
    <mergeCell ref="B12:C12"/>
    <mergeCell ref="D12:E12"/>
    <mergeCell ref="F12:G12"/>
    <mergeCell ref="H12:I12"/>
    <mergeCell ref="U33:U34"/>
    <mergeCell ref="T19:T20"/>
    <mergeCell ref="U19:U20"/>
    <mergeCell ref="V19:V20"/>
  </mergeCells>
  <phoneticPr fontId="13" type="noConversion"/>
  <dataValidations count="3">
    <dataValidation type="list" allowBlank="1" showInputMessage="1" showErrorMessage="1" sqref="A7:F7" xr:uid="{00000000-0002-0000-0100-000000000000}">
      <formula1>FORMACION</formula1>
    </dataValidation>
    <dataValidation type="list" allowBlank="1" showInputMessage="1" showErrorMessage="1" sqref="J30" xr:uid="{00000000-0002-0000-0100-000001000000}">
      <formula1>$X$35:$X$46</formula1>
    </dataValidation>
    <dataValidation type="list" allowBlank="1" showInputMessage="1" showErrorMessage="1" sqref="J10" xr:uid="{00000000-0002-0000-0100-000002000000}">
      <formula1>$AA$6:$AA$8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8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30"/>
  <sheetViews>
    <sheetView showGridLines="0" zoomScale="90" zoomScaleNormal="90" workbookViewId="0">
      <pane ySplit="6" topLeftCell="A7" activePane="bottomLeft" state="frozen"/>
      <selection pane="bottomLeft" activeCell="G4" sqref="G4"/>
    </sheetView>
  </sheetViews>
  <sheetFormatPr baseColWidth="10" defaultColWidth="17.28515625" defaultRowHeight="14.25" x14ac:dyDescent="0.2"/>
  <cols>
    <col min="1" max="1" width="22.7109375" style="106" customWidth="1"/>
    <col min="2" max="2" width="21.140625" style="106" customWidth="1"/>
    <col min="3" max="3" width="16.7109375" style="106" customWidth="1"/>
    <col min="4" max="4" width="14.85546875" style="106" customWidth="1"/>
    <col min="5" max="6" width="14.28515625" style="106" customWidth="1"/>
    <col min="7" max="7" width="37.85546875" style="106" customWidth="1"/>
    <col min="8" max="8" width="6.5703125" style="106" customWidth="1"/>
    <col min="9" max="9" width="2.7109375" style="106" customWidth="1"/>
    <col min="10" max="16384" width="17.28515625" style="106"/>
  </cols>
  <sheetData>
    <row r="2" spans="1:11" ht="29.25" customHeight="1" x14ac:dyDescent="0.2">
      <c r="A2" s="424" t="e" vm="1">
        <v>#VALUE!</v>
      </c>
      <c r="B2" s="424" t="e" vm="2">
        <v>#VALUE!</v>
      </c>
      <c r="C2" s="379" t="s">
        <v>460</v>
      </c>
      <c r="D2" s="371"/>
      <c r="E2" s="371"/>
      <c r="F2" s="372"/>
      <c r="G2" s="91" t="s">
        <v>459</v>
      </c>
    </row>
    <row r="3" spans="1:11" ht="29.25" customHeight="1" x14ac:dyDescent="0.2">
      <c r="A3" s="425"/>
      <c r="B3" s="425"/>
      <c r="C3" s="376"/>
      <c r="D3" s="377"/>
      <c r="E3" s="377"/>
      <c r="F3" s="378"/>
      <c r="G3" s="91" t="s">
        <v>483</v>
      </c>
    </row>
    <row r="4" spans="1:11" ht="29.25" customHeight="1" x14ac:dyDescent="0.2">
      <c r="A4" s="426"/>
      <c r="B4" s="426"/>
      <c r="C4" s="427" t="s">
        <v>462</v>
      </c>
      <c r="D4" s="428"/>
      <c r="E4" s="428"/>
      <c r="F4" s="429"/>
      <c r="G4" s="91" t="s">
        <v>479</v>
      </c>
    </row>
    <row r="6" spans="1:11" ht="23.25" customHeight="1" x14ac:dyDescent="0.2">
      <c r="A6" s="461" t="s">
        <v>181</v>
      </c>
      <c r="B6" s="461"/>
      <c r="C6" s="461"/>
      <c r="D6" s="461"/>
      <c r="E6" s="461"/>
      <c r="F6" s="461"/>
      <c r="G6" s="461"/>
      <c r="J6" s="390" t="s">
        <v>445</v>
      </c>
      <c r="K6" s="390"/>
    </row>
    <row r="7" spans="1:11" ht="9" customHeight="1" x14ac:dyDescent="0.2">
      <c r="A7" s="107"/>
      <c r="B7" s="107"/>
      <c r="C7" s="107"/>
      <c r="D7" s="107"/>
      <c r="E7" s="107"/>
      <c r="F7" s="107"/>
      <c r="G7" s="107"/>
      <c r="J7" s="390"/>
      <c r="K7" s="390"/>
    </row>
    <row r="8" spans="1:11" ht="18" x14ac:dyDescent="0.2">
      <c r="A8" s="386" t="s">
        <v>182</v>
      </c>
      <c r="B8" s="386"/>
      <c r="C8" s="386"/>
      <c r="D8" s="386"/>
      <c r="E8" s="386"/>
      <c r="F8" s="386"/>
      <c r="G8" s="386"/>
      <c r="J8" s="390"/>
      <c r="K8" s="390"/>
    </row>
    <row r="9" spans="1:11" ht="22.5" customHeight="1" x14ac:dyDescent="0.2">
      <c r="A9" s="439" t="s">
        <v>183</v>
      </c>
      <c r="B9" s="439" t="s">
        <v>184</v>
      </c>
      <c r="C9" s="439" t="s">
        <v>185</v>
      </c>
      <c r="D9" s="439" t="s">
        <v>186</v>
      </c>
      <c r="E9" s="439" t="s">
        <v>187</v>
      </c>
      <c r="F9" s="117" t="s">
        <v>448</v>
      </c>
      <c r="G9" s="439" t="s">
        <v>188</v>
      </c>
    </row>
    <row r="10" spans="1:11" x14ac:dyDescent="0.2">
      <c r="A10" s="439"/>
      <c r="B10" s="439"/>
      <c r="C10" s="439"/>
      <c r="D10" s="439"/>
      <c r="E10" s="439"/>
      <c r="F10" s="118">
        <v>0.52</v>
      </c>
      <c r="G10" s="439"/>
    </row>
    <row r="11" spans="1:11" x14ac:dyDescent="0.2">
      <c r="A11" s="269"/>
      <c r="B11" s="270"/>
      <c r="C11" s="270"/>
      <c r="D11" s="270"/>
      <c r="E11" s="119">
        <f>((C11+D11)*B11)*11.5</f>
        <v>0</v>
      </c>
      <c r="F11" s="119">
        <f>E11*$F$10</f>
        <v>0</v>
      </c>
      <c r="G11" s="119">
        <f>E11+F11</f>
        <v>0</v>
      </c>
    </row>
    <row r="12" spans="1:11" x14ac:dyDescent="0.2">
      <c r="A12" s="269"/>
      <c r="B12" s="270"/>
      <c r="C12" s="270"/>
      <c r="D12" s="270"/>
      <c r="E12" s="119">
        <f>((C12+D12)*B12)*11.5</f>
        <v>0</v>
      </c>
      <c r="F12" s="119">
        <f>E12*$F$10</f>
        <v>0</v>
      </c>
      <c r="G12" s="119">
        <f>E12+F12</f>
        <v>0</v>
      </c>
    </row>
    <row r="13" spans="1:11" x14ac:dyDescent="0.2">
      <c r="A13" s="430" t="s">
        <v>189</v>
      </c>
      <c r="B13" s="431"/>
      <c r="C13" s="431"/>
      <c r="D13" s="432"/>
      <c r="E13" s="120">
        <f>SUM(E11:E12)</f>
        <v>0</v>
      </c>
      <c r="F13" s="120">
        <f>SUM(F11:F12)</f>
        <v>0</v>
      </c>
      <c r="G13" s="120">
        <f>SUM(G11:G12)</f>
        <v>0</v>
      </c>
    </row>
    <row r="14" spans="1:11" ht="9" customHeight="1" x14ac:dyDescent="0.2">
      <c r="A14" s="108"/>
      <c r="B14" s="109"/>
      <c r="C14" s="109"/>
      <c r="D14" s="109"/>
      <c r="E14" s="109"/>
      <c r="F14" s="109"/>
      <c r="G14" s="109"/>
    </row>
    <row r="15" spans="1:11" ht="9" customHeight="1" x14ac:dyDescent="0.2">
      <c r="A15" s="110"/>
      <c r="B15" s="110"/>
      <c r="C15" s="110"/>
      <c r="D15" s="110"/>
      <c r="E15" s="110"/>
      <c r="F15" s="110"/>
      <c r="G15" s="110"/>
    </row>
    <row r="16" spans="1:11" ht="18" x14ac:dyDescent="0.2">
      <c r="A16" s="386" t="s">
        <v>243</v>
      </c>
      <c r="B16" s="386"/>
      <c r="C16" s="386"/>
      <c r="D16" s="386"/>
      <c r="E16" s="386"/>
      <c r="F16" s="386"/>
      <c r="G16" s="386"/>
    </row>
    <row r="17" spans="1:16" x14ac:dyDescent="0.2">
      <c r="A17" s="452" t="s">
        <v>7</v>
      </c>
      <c r="B17" s="452" t="s">
        <v>184</v>
      </c>
      <c r="C17" s="452" t="s">
        <v>190</v>
      </c>
      <c r="D17" s="452" t="s">
        <v>8</v>
      </c>
      <c r="E17" s="452" t="s">
        <v>191</v>
      </c>
      <c r="F17" s="452"/>
      <c r="G17" s="452"/>
    </row>
    <row r="18" spans="1:16" x14ac:dyDescent="0.2">
      <c r="A18" s="452"/>
      <c r="B18" s="452"/>
      <c r="C18" s="452"/>
      <c r="D18" s="452"/>
      <c r="E18" s="452"/>
      <c r="F18" s="452"/>
      <c r="G18" s="452"/>
    </row>
    <row r="19" spans="1:16" x14ac:dyDescent="0.2">
      <c r="A19" s="121"/>
      <c r="B19" s="124"/>
      <c r="C19" s="124"/>
      <c r="D19" s="119">
        <f>+B19*C19</f>
        <v>0</v>
      </c>
      <c r="E19" s="440"/>
      <c r="F19" s="440"/>
      <c r="G19" s="440"/>
    </row>
    <row r="20" spans="1:16" x14ac:dyDescent="0.2">
      <c r="A20" s="121"/>
      <c r="B20" s="124"/>
      <c r="C20" s="124"/>
      <c r="D20" s="119">
        <f>+B20*C20</f>
        <v>0</v>
      </c>
      <c r="E20" s="440"/>
      <c r="F20" s="440"/>
      <c r="G20" s="440"/>
    </row>
    <row r="21" spans="1:16" x14ac:dyDescent="0.2">
      <c r="A21" s="430" t="s">
        <v>189</v>
      </c>
      <c r="B21" s="431"/>
      <c r="C21" s="432"/>
      <c r="D21" s="120">
        <f>SUM(D19:D20)</f>
        <v>0</v>
      </c>
      <c r="E21" s="448"/>
      <c r="F21" s="458"/>
      <c r="G21" s="449"/>
    </row>
    <row r="22" spans="1:16" ht="9" customHeight="1" x14ac:dyDescent="0.2">
      <c r="A22" s="110"/>
      <c r="B22" s="110"/>
      <c r="C22" s="110"/>
      <c r="D22" s="110"/>
      <c r="E22" s="110"/>
      <c r="F22" s="110"/>
      <c r="G22" s="110"/>
    </row>
    <row r="23" spans="1:16" ht="9" customHeight="1" x14ac:dyDescent="0.2">
      <c r="A23" s="110"/>
      <c r="B23" s="110"/>
      <c r="C23" s="110"/>
      <c r="D23" s="110"/>
      <c r="E23" s="110"/>
      <c r="F23" s="110"/>
      <c r="G23" s="110"/>
    </row>
    <row r="24" spans="1:16" ht="18" x14ac:dyDescent="0.2">
      <c r="A24" s="386" t="s">
        <v>244</v>
      </c>
      <c r="B24" s="386"/>
      <c r="C24" s="386"/>
      <c r="D24" s="386"/>
      <c r="E24" s="386"/>
      <c r="F24" s="386"/>
      <c r="G24" s="386"/>
    </row>
    <row r="25" spans="1:16" x14ac:dyDescent="0.2">
      <c r="A25" s="439" t="s">
        <v>7</v>
      </c>
      <c r="B25" s="439" t="s">
        <v>184</v>
      </c>
      <c r="C25" s="439" t="s">
        <v>190</v>
      </c>
      <c r="D25" s="439" t="s">
        <v>8</v>
      </c>
      <c r="E25" s="439" t="s">
        <v>191</v>
      </c>
      <c r="F25" s="439"/>
      <c r="G25" s="439"/>
    </row>
    <row r="26" spans="1:16" x14ac:dyDescent="0.2">
      <c r="A26" s="439"/>
      <c r="B26" s="439"/>
      <c r="C26" s="439"/>
      <c r="D26" s="439"/>
      <c r="E26" s="439"/>
      <c r="F26" s="439"/>
      <c r="G26" s="439"/>
    </row>
    <row r="27" spans="1:16" x14ac:dyDescent="0.2">
      <c r="A27" s="269"/>
      <c r="B27" s="271"/>
      <c r="C27" s="124"/>
      <c r="D27" s="119">
        <f>+B27*C27</f>
        <v>0</v>
      </c>
      <c r="E27" s="462"/>
      <c r="F27" s="462"/>
      <c r="G27" s="462"/>
    </row>
    <row r="28" spans="1:16" x14ac:dyDescent="0.2">
      <c r="A28" s="269"/>
      <c r="B28" s="271"/>
      <c r="C28" s="124"/>
      <c r="D28" s="119">
        <f>+B28*C28</f>
        <v>0</v>
      </c>
      <c r="E28" s="462"/>
      <c r="F28" s="462"/>
      <c r="G28" s="462"/>
    </row>
    <row r="29" spans="1:16" ht="15.75" customHeight="1" x14ac:dyDescent="0.2">
      <c r="A29" s="433" t="s">
        <v>189</v>
      </c>
      <c r="B29" s="433"/>
      <c r="C29" s="433"/>
      <c r="D29" s="120">
        <f>SUM(D27:D28)</f>
        <v>0</v>
      </c>
      <c r="E29" s="448"/>
      <c r="F29" s="458"/>
      <c r="G29" s="449"/>
    </row>
    <row r="30" spans="1:16" ht="9" customHeight="1" x14ac:dyDescent="0.2">
      <c r="A30" s="110"/>
      <c r="B30" s="110"/>
      <c r="C30" s="110"/>
      <c r="D30" s="110"/>
      <c r="E30" s="110"/>
      <c r="F30" s="110"/>
      <c r="G30" s="110"/>
    </row>
    <row r="31" spans="1:16" ht="9" customHeight="1" x14ac:dyDescent="0.2">
      <c r="A31" s="110"/>
      <c r="B31" s="110"/>
      <c r="C31" s="110"/>
      <c r="D31" s="110"/>
      <c r="E31" s="110"/>
      <c r="F31" s="110"/>
      <c r="G31" s="110"/>
    </row>
    <row r="32" spans="1:16" ht="18" x14ac:dyDescent="0.2">
      <c r="A32" s="386" t="s">
        <v>192</v>
      </c>
      <c r="B32" s="386"/>
      <c r="C32" s="386"/>
      <c r="D32" s="386"/>
      <c r="E32" s="386"/>
      <c r="F32" s="386"/>
      <c r="G32" s="386"/>
      <c r="I32" s="111"/>
      <c r="J32" s="111"/>
      <c r="K32" s="111"/>
      <c r="L32" s="111"/>
      <c r="M32" s="111"/>
      <c r="N32" s="111"/>
      <c r="O32" s="111"/>
      <c r="P32" s="111"/>
    </row>
    <row r="33" spans="1:7" ht="22.5" customHeight="1" x14ac:dyDescent="0.2">
      <c r="A33" s="117" t="s">
        <v>7</v>
      </c>
      <c r="B33" s="117" t="s">
        <v>193</v>
      </c>
      <c r="C33" s="117" t="s">
        <v>194</v>
      </c>
      <c r="D33" s="117" t="s">
        <v>195</v>
      </c>
      <c r="E33" s="117" t="s">
        <v>8</v>
      </c>
      <c r="F33" s="439" t="s">
        <v>191</v>
      </c>
      <c r="G33" s="439"/>
    </row>
    <row r="34" spans="1:7" x14ac:dyDescent="0.2">
      <c r="A34" s="126" t="s">
        <v>305</v>
      </c>
      <c r="B34" s="112"/>
      <c r="C34" s="113">
        <f>+'ESTUDIANTES Y DOCENTES'!D$51+'ESTUDIANTES Y DOCENTES'!F$51</f>
        <v>0</v>
      </c>
      <c r="D34" s="272">
        <f>TARIFAS!C5</f>
        <v>51779</v>
      </c>
      <c r="E34" s="119">
        <f t="shared" ref="E34:E40" si="0">+C34*D34</f>
        <v>0</v>
      </c>
      <c r="F34" s="453"/>
      <c r="G34" s="453"/>
    </row>
    <row r="35" spans="1:7" x14ac:dyDescent="0.2">
      <c r="A35" s="126" t="s">
        <v>306</v>
      </c>
      <c r="B35" s="112"/>
      <c r="C35" s="113">
        <f>+'ESTUDIANTES Y DOCENTES'!H$51+'ESTUDIANTES Y DOCENTES'!J$51</f>
        <v>0</v>
      </c>
      <c r="D35" s="25">
        <f>+D34*(1+CONSOLIDADO!G$77)</f>
        <v>54367.950000000004</v>
      </c>
      <c r="E35" s="119">
        <f t="shared" si="0"/>
        <v>0</v>
      </c>
      <c r="F35" s="453"/>
      <c r="G35" s="453"/>
    </row>
    <row r="36" spans="1:7" x14ac:dyDescent="0.2">
      <c r="A36" s="126" t="s">
        <v>307</v>
      </c>
      <c r="B36" s="112"/>
      <c r="C36" s="113">
        <f>+'ESTUDIANTES Y DOCENTES'!L$51+'ESTUDIANTES Y DOCENTES'!N$51</f>
        <v>0</v>
      </c>
      <c r="D36" s="25">
        <f>+D35*(1+CONSOLIDADO!H$77)</f>
        <v>57086.347500000003</v>
      </c>
      <c r="E36" s="119">
        <f t="shared" si="0"/>
        <v>0</v>
      </c>
      <c r="F36" s="453"/>
      <c r="G36" s="453"/>
    </row>
    <row r="37" spans="1:7" x14ac:dyDescent="0.2">
      <c r="A37" s="126" t="s">
        <v>308</v>
      </c>
      <c r="B37" s="112"/>
      <c r="C37" s="113">
        <f>+'ESTUDIANTES Y DOCENTES'!P$51+'ESTUDIANTES Y DOCENTES'!R$51</f>
        <v>0</v>
      </c>
      <c r="D37" s="25">
        <f>+D36*(1+CONSOLIDADO!I$77)</f>
        <v>59940.664875000009</v>
      </c>
      <c r="E37" s="119">
        <f t="shared" si="0"/>
        <v>0</v>
      </c>
      <c r="F37" s="453"/>
      <c r="G37" s="453"/>
    </row>
    <row r="38" spans="1:7" x14ac:dyDescent="0.2">
      <c r="A38" s="126" t="s">
        <v>309</v>
      </c>
      <c r="B38" s="112"/>
      <c r="C38" s="113">
        <f>+'ESTUDIANTES Y DOCENTES'!T$51+'ESTUDIANTES Y DOCENTES'!V$51</f>
        <v>0</v>
      </c>
      <c r="D38" s="25">
        <f>+D37*(1+CONSOLIDADO!J$77)</f>
        <v>62937.698118750013</v>
      </c>
      <c r="E38" s="119">
        <f t="shared" si="0"/>
        <v>0</v>
      </c>
      <c r="F38" s="453"/>
      <c r="G38" s="453"/>
    </row>
    <row r="39" spans="1:7" x14ac:dyDescent="0.2">
      <c r="A39" s="126" t="s">
        <v>349</v>
      </c>
      <c r="B39" s="112"/>
      <c r="C39" s="113">
        <f>'ESTUDIANTES Y DOCENTES'!X51+'ESTUDIANTES Y DOCENTES'!Z51</f>
        <v>0</v>
      </c>
      <c r="D39" s="25">
        <f>+D38*(1+CONSOLIDADO!K$77)</f>
        <v>66084.583024687512</v>
      </c>
      <c r="E39" s="119">
        <f t="shared" si="0"/>
        <v>0</v>
      </c>
      <c r="F39" s="459"/>
      <c r="G39" s="460"/>
    </row>
    <row r="40" spans="1:7" x14ac:dyDescent="0.2">
      <c r="A40" s="126" t="s">
        <v>350</v>
      </c>
      <c r="B40" s="112"/>
      <c r="C40" s="113">
        <f>'ESTUDIANTES Y DOCENTES'!AB51+'ESTUDIANTES Y DOCENTES'!AD51</f>
        <v>0</v>
      </c>
      <c r="D40" s="25">
        <f>+D39*(1+CONSOLIDADO!L$77)</f>
        <v>69388.812175921892</v>
      </c>
      <c r="E40" s="119">
        <f t="shared" si="0"/>
        <v>0</v>
      </c>
      <c r="F40" s="459"/>
      <c r="G40" s="460"/>
    </row>
    <row r="41" spans="1:7" x14ac:dyDescent="0.2">
      <c r="A41" s="433" t="s">
        <v>189</v>
      </c>
      <c r="B41" s="433"/>
      <c r="C41" s="127">
        <f>SUM(C34:C40)</f>
        <v>0</v>
      </c>
      <c r="D41" s="127"/>
      <c r="E41" s="120">
        <f>SUM(E34:E40)</f>
        <v>0</v>
      </c>
      <c r="F41" s="447"/>
      <c r="G41" s="447"/>
    </row>
    <row r="42" spans="1:7" ht="9" customHeight="1" x14ac:dyDescent="0.2">
      <c r="A42" s="110"/>
      <c r="B42" s="110"/>
      <c r="C42" s="110"/>
      <c r="D42" s="110"/>
      <c r="E42" s="110"/>
      <c r="F42" s="110"/>
      <c r="G42" s="110"/>
    </row>
    <row r="43" spans="1:7" ht="9" customHeight="1" x14ac:dyDescent="0.2">
      <c r="A43" s="110"/>
      <c r="B43" s="110"/>
      <c r="C43" s="110"/>
      <c r="D43" s="110"/>
      <c r="E43" s="110"/>
      <c r="F43" s="110"/>
      <c r="G43" s="110"/>
    </row>
    <row r="44" spans="1:7" ht="18" x14ac:dyDescent="0.2">
      <c r="A44" s="386" t="s">
        <v>382</v>
      </c>
      <c r="B44" s="386"/>
      <c r="C44" s="386"/>
      <c r="D44" s="386"/>
      <c r="E44" s="386"/>
      <c r="F44" s="386"/>
      <c r="G44" s="386"/>
    </row>
    <row r="45" spans="1:7" ht="22.5" customHeight="1" x14ac:dyDescent="0.2">
      <c r="A45" s="117" t="s">
        <v>7</v>
      </c>
      <c r="B45" s="117" t="s">
        <v>193</v>
      </c>
      <c r="C45" s="117" t="s">
        <v>196</v>
      </c>
      <c r="D45" s="117" t="s">
        <v>197</v>
      </c>
      <c r="E45" s="117" t="s">
        <v>8</v>
      </c>
      <c r="F45" s="439" t="s">
        <v>191</v>
      </c>
      <c r="G45" s="439"/>
    </row>
    <row r="46" spans="1:7" x14ac:dyDescent="0.2">
      <c r="A46" s="269"/>
      <c r="B46" s="269"/>
      <c r="C46" s="271"/>
      <c r="D46" s="271"/>
      <c r="E46" s="119">
        <f>+C46*D46</f>
        <v>0</v>
      </c>
      <c r="F46" s="454"/>
      <c r="G46" s="454"/>
    </row>
    <row r="47" spans="1:7" x14ac:dyDescent="0.2">
      <c r="A47" s="269"/>
      <c r="B47" s="269"/>
      <c r="C47" s="271"/>
      <c r="D47" s="271"/>
      <c r="E47" s="119">
        <f t="shared" ref="E47:E49" si="1">+C47*D47</f>
        <v>0</v>
      </c>
      <c r="F47" s="454"/>
      <c r="G47" s="454"/>
    </row>
    <row r="48" spans="1:7" x14ac:dyDescent="0.2">
      <c r="A48" s="269"/>
      <c r="B48" s="269"/>
      <c r="C48" s="271"/>
      <c r="D48" s="271"/>
      <c r="E48" s="119">
        <f t="shared" si="1"/>
        <v>0</v>
      </c>
      <c r="F48" s="454"/>
      <c r="G48" s="454"/>
    </row>
    <row r="49" spans="1:7" x14ac:dyDescent="0.2">
      <c r="A49" s="269"/>
      <c r="B49" s="269"/>
      <c r="C49" s="271"/>
      <c r="D49" s="271"/>
      <c r="E49" s="119">
        <f t="shared" si="1"/>
        <v>0</v>
      </c>
      <c r="F49" s="454"/>
      <c r="G49" s="454"/>
    </row>
    <row r="50" spans="1:7" ht="15.75" customHeight="1" x14ac:dyDescent="0.2">
      <c r="A50" s="433" t="s">
        <v>189</v>
      </c>
      <c r="B50" s="433"/>
      <c r="C50" s="433"/>
      <c r="D50" s="433"/>
      <c r="E50" s="120">
        <f>SUM(E46:E49)</f>
        <v>0</v>
      </c>
      <c r="F50" s="447"/>
      <c r="G50" s="447"/>
    </row>
    <row r="51" spans="1:7" ht="9" customHeight="1" x14ac:dyDescent="0.2">
      <c r="A51" s="110"/>
      <c r="B51" s="110"/>
      <c r="C51" s="110"/>
      <c r="D51" s="110"/>
      <c r="E51" s="110"/>
      <c r="F51" s="110"/>
      <c r="G51" s="110"/>
    </row>
    <row r="52" spans="1:7" ht="9" customHeight="1" x14ac:dyDescent="0.2">
      <c r="A52" s="110"/>
      <c r="B52" s="110"/>
      <c r="C52" s="110"/>
      <c r="D52" s="110"/>
      <c r="E52" s="110"/>
      <c r="F52" s="110"/>
      <c r="G52" s="110"/>
    </row>
    <row r="53" spans="1:7" ht="18" x14ac:dyDescent="0.2">
      <c r="A53" s="386" t="s">
        <v>198</v>
      </c>
      <c r="B53" s="386"/>
      <c r="C53" s="386"/>
      <c r="D53" s="386"/>
      <c r="E53" s="386"/>
      <c r="F53" s="386"/>
      <c r="G53" s="386"/>
    </row>
    <row r="54" spans="1:7" ht="21.75" customHeight="1" x14ac:dyDescent="0.2">
      <c r="A54" s="117" t="s">
        <v>7</v>
      </c>
      <c r="B54" s="117" t="s">
        <v>193</v>
      </c>
      <c r="C54" s="117" t="s">
        <v>202</v>
      </c>
      <c r="D54" s="117" t="s">
        <v>197</v>
      </c>
      <c r="E54" s="117" t="s">
        <v>8</v>
      </c>
      <c r="F54" s="439" t="s">
        <v>191</v>
      </c>
      <c r="G54" s="439"/>
    </row>
    <row r="55" spans="1:7" x14ac:dyDescent="0.2">
      <c r="A55" s="269"/>
      <c r="B55" s="269"/>
      <c r="C55" s="270"/>
      <c r="D55" s="271"/>
      <c r="E55" s="119">
        <f>+D55*C55</f>
        <v>0</v>
      </c>
      <c r="F55" s="454"/>
      <c r="G55" s="454"/>
    </row>
    <row r="56" spans="1:7" x14ac:dyDescent="0.2">
      <c r="A56" s="269"/>
      <c r="B56" s="273"/>
      <c r="C56" s="273"/>
      <c r="D56" s="270"/>
      <c r="E56" s="119">
        <f>+D56*C56</f>
        <v>0</v>
      </c>
      <c r="F56" s="454"/>
      <c r="G56" s="454"/>
    </row>
    <row r="57" spans="1:7" ht="15" customHeight="1" x14ac:dyDescent="0.2">
      <c r="A57" s="269"/>
      <c r="B57" s="273"/>
      <c r="C57" s="273"/>
      <c r="D57" s="270"/>
      <c r="E57" s="119">
        <f>+D57*C57</f>
        <v>0</v>
      </c>
      <c r="F57" s="454"/>
      <c r="G57" s="454"/>
    </row>
    <row r="58" spans="1:7" x14ac:dyDescent="0.2">
      <c r="A58" s="269"/>
      <c r="B58" s="273"/>
      <c r="C58" s="273"/>
      <c r="D58" s="270"/>
      <c r="E58" s="119">
        <f>+D58*C58</f>
        <v>0</v>
      </c>
      <c r="F58" s="454"/>
      <c r="G58" s="454"/>
    </row>
    <row r="59" spans="1:7" x14ac:dyDescent="0.2">
      <c r="A59" s="430" t="s">
        <v>189</v>
      </c>
      <c r="B59" s="431"/>
      <c r="C59" s="431"/>
      <c r="D59" s="432"/>
      <c r="E59" s="120">
        <f>SUM(E55:E58)</f>
        <v>0</v>
      </c>
      <c r="F59" s="447"/>
      <c r="G59" s="447"/>
    </row>
    <row r="60" spans="1:7" ht="9" customHeight="1" x14ac:dyDescent="0.2">
      <c r="A60" s="5"/>
      <c r="B60" s="110"/>
      <c r="C60" s="110"/>
      <c r="D60" s="110"/>
      <c r="E60" s="110"/>
      <c r="F60" s="110"/>
      <c r="G60" s="110"/>
    </row>
    <row r="61" spans="1:7" ht="9" customHeight="1" x14ac:dyDescent="0.2">
      <c r="A61" s="110"/>
      <c r="B61" s="110"/>
      <c r="C61" s="110"/>
      <c r="D61" s="110"/>
      <c r="E61" s="110"/>
      <c r="F61" s="110"/>
      <c r="G61" s="110"/>
    </row>
    <row r="62" spans="1:7" ht="18" x14ac:dyDescent="0.2">
      <c r="A62" s="386" t="s">
        <v>256</v>
      </c>
      <c r="B62" s="386"/>
      <c r="C62" s="386"/>
      <c r="D62" s="386"/>
      <c r="E62" s="386"/>
      <c r="F62" s="386"/>
      <c r="G62" s="386"/>
    </row>
    <row r="63" spans="1:7" ht="28.5" customHeight="1" x14ac:dyDescent="0.2">
      <c r="A63" s="117" t="s">
        <v>228</v>
      </c>
      <c r="B63" s="117" t="s">
        <v>193</v>
      </c>
      <c r="C63" s="117" t="s">
        <v>229</v>
      </c>
      <c r="D63" s="117" t="s">
        <v>230</v>
      </c>
      <c r="E63" s="117" t="s">
        <v>231</v>
      </c>
      <c r="F63" s="117" t="s">
        <v>8</v>
      </c>
      <c r="G63" s="117" t="s">
        <v>232</v>
      </c>
    </row>
    <row r="64" spans="1:7" x14ac:dyDescent="0.2">
      <c r="A64" s="269"/>
      <c r="B64" s="273"/>
      <c r="C64" s="274"/>
      <c r="D64" s="270"/>
      <c r="E64" s="270"/>
      <c r="F64" s="119">
        <f>+D64*E64</f>
        <v>0</v>
      </c>
      <c r="G64" s="125"/>
    </row>
    <row r="65" spans="1:7" x14ac:dyDescent="0.2">
      <c r="A65" s="269"/>
      <c r="B65" s="273"/>
      <c r="C65" s="274"/>
      <c r="D65" s="270"/>
      <c r="E65" s="270"/>
      <c r="F65" s="119">
        <f>+D65*E65</f>
        <v>0</v>
      </c>
      <c r="G65" s="125"/>
    </row>
    <row r="66" spans="1:7" x14ac:dyDescent="0.2">
      <c r="A66" s="269"/>
      <c r="B66" s="273"/>
      <c r="C66" s="274"/>
      <c r="D66" s="270"/>
      <c r="E66" s="270"/>
      <c r="F66" s="119">
        <f>+D66*E66</f>
        <v>0</v>
      </c>
      <c r="G66" s="125"/>
    </row>
    <row r="67" spans="1:7" x14ac:dyDescent="0.2">
      <c r="A67" s="430" t="s">
        <v>189</v>
      </c>
      <c r="B67" s="431"/>
      <c r="C67" s="431"/>
      <c r="D67" s="431"/>
      <c r="E67" s="432"/>
      <c r="F67" s="120">
        <f>SUM(F64:F66)</f>
        <v>0</v>
      </c>
      <c r="G67" s="130"/>
    </row>
    <row r="68" spans="1:7" ht="9" customHeight="1" x14ac:dyDescent="0.2">
      <c r="A68" s="110"/>
      <c r="B68" s="110"/>
      <c r="C68" s="110"/>
      <c r="D68" s="110"/>
      <c r="E68" s="110"/>
      <c r="F68" s="110"/>
      <c r="G68" s="110"/>
    </row>
    <row r="69" spans="1:7" ht="9" customHeight="1" x14ac:dyDescent="0.2">
      <c r="A69" s="110"/>
      <c r="B69" s="110"/>
      <c r="C69" s="110"/>
      <c r="D69" s="110"/>
      <c r="E69" s="110"/>
      <c r="F69" s="110"/>
      <c r="G69" s="110"/>
    </row>
    <row r="70" spans="1:7" ht="18" x14ac:dyDescent="0.2">
      <c r="A70" s="386" t="s">
        <v>253</v>
      </c>
      <c r="B70" s="386"/>
      <c r="C70" s="386"/>
      <c r="D70" s="386"/>
      <c r="E70" s="386"/>
      <c r="F70" s="386"/>
      <c r="G70" s="386"/>
    </row>
    <row r="71" spans="1:7" ht="20.25" customHeight="1" x14ac:dyDescent="0.2">
      <c r="A71" s="117" t="s">
        <v>228</v>
      </c>
      <c r="B71" s="117" t="s">
        <v>193</v>
      </c>
      <c r="C71" s="117" t="s">
        <v>229</v>
      </c>
      <c r="D71" s="117" t="s">
        <v>230</v>
      </c>
      <c r="E71" s="117" t="s">
        <v>231</v>
      </c>
      <c r="F71" s="117" t="s">
        <v>8</v>
      </c>
      <c r="G71" s="117" t="s">
        <v>232</v>
      </c>
    </row>
    <row r="72" spans="1:7" ht="18" customHeight="1" x14ac:dyDescent="0.2">
      <c r="A72" s="269"/>
      <c r="B72" s="269"/>
      <c r="C72" s="274"/>
      <c r="D72" s="270"/>
      <c r="E72" s="270"/>
      <c r="F72" s="119">
        <f>+D72*E72</f>
        <v>0</v>
      </c>
      <c r="G72" s="125"/>
    </row>
    <row r="73" spans="1:7" ht="18" customHeight="1" x14ac:dyDescent="0.2">
      <c r="A73" s="269"/>
      <c r="B73" s="269"/>
      <c r="C73" s="274"/>
      <c r="D73" s="270"/>
      <c r="E73" s="270"/>
      <c r="F73" s="119">
        <f>+D73*E73</f>
        <v>0</v>
      </c>
      <c r="G73" s="125"/>
    </row>
    <row r="74" spans="1:7" ht="18" customHeight="1" x14ac:dyDescent="0.2">
      <c r="A74" s="269"/>
      <c r="B74" s="269"/>
      <c r="C74" s="274"/>
      <c r="D74" s="270"/>
      <c r="E74" s="270"/>
      <c r="F74" s="119">
        <f>+D74*E74</f>
        <v>0</v>
      </c>
      <c r="G74" s="125"/>
    </row>
    <row r="75" spans="1:7" ht="18" customHeight="1" x14ac:dyDescent="0.2">
      <c r="A75" s="269"/>
      <c r="B75" s="269"/>
      <c r="C75" s="274"/>
      <c r="D75" s="270"/>
      <c r="E75" s="270"/>
      <c r="F75" s="119">
        <f>+D75*E75</f>
        <v>0</v>
      </c>
      <c r="G75" s="125"/>
    </row>
    <row r="76" spans="1:7" ht="16.5" customHeight="1" x14ac:dyDescent="0.2">
      <c r="A76" s="269"/>
      <c r="B76" s="269"/>
      <c r="C76" s="275"/>
      <c r="D76" s="270"/>
      <c r="E76" s="270"/>
      <c r="F76" s="119">
        <f>+D76*E76</f>
        <v>0</v>
      </c>
      <c r="G76" s="125"/>
    </row>
    <row r="77" spans="1:7" x14ac:dyDescent="0.2">
      <c r="A77" s="430" t="s">
        <v>189</v>
      </c>
      <c r="B77" s="431"/>
      <c r="C77" s="431"/>
      <c r="D77" s="431"/>
      <c r="E77" s="432"/>
      <c r="F77" s="120">
        <f>SUM(F72:F76)</f>
        <v>0</v>
      </c>
      <c r="G77" s="130"/>
    </row>
    <row r="78" spans="1:7" ht="9" customHeight="1" x14ac:dyDescent="0.2">
      <c r="A78" s="110"/>
      <c r="B78" s="110"/>
      <c r="C78" s="110"/>
      <c r="D78" s="110"/>
      <c r="E78" s="110"/>
      <c r="F78" s="110"/>
      <c r="G78" s="110"/>
    </row>
    <row r="79" spans="1:7" ht="9" customHeight="1" x14ac:dyDescent="0.2">
      <c r="A79" s="110"/>
      <c r="B79" s="110"/>
      <c r="C79" s="110"/>
      <c r="D79" s="110"/>
      <c r="E79" s="110"/>
      <c r="F79" s="110"/>
      <c r="G79" s="110"/>
    </row>
    <row r="80" spans="1:7" ht="18" x14ac:dyDescent="0.2">
      <c r="A80" s="386" t="s">
        <v>254</v>
      </c>
      <c r="B80" s="386"/>
      <c r="C80" s="386"/>
      <c r="D80" s="386"/>
      <c r="E80" s="386"/>
      <c r="F80" s="386"/>
      <c r="G80" s="386"/>
    </row>
    <row r="81" spans="1:7" ht="22.5" x14ac:dyDescent="0.2">
      <c r="A81" s="117" t="s">
        <v>193</v>
      </c>
      <c r="B81" s="117" t="s">
        <v>233</v>
      </c>
      <c r="C81" s="117" t="s">
        <v>234</v>
      </c>
      <c r="D81" s="117" t="s">
        <v>235</v>
      </c>
      <c r="E81" s="117" t="s">
        <v>236</v>
      </c>
      <c r="F81" s="117" t="s">
        <v>8</v>
      </c>
      <c r="G81" s="117" t="s">
        <v>232</v>
      </c>
    </row>
    <row r="82" spans="1:7" x14ac:dyDescent="0.2">
      <c r="A82" s="269"/>
      <c r="B82" s="273"/>
      <c r="C82" s="273"/>
      <c r="D82" s="270"/>
      <c r="E82" s="270"/>
      <c r="F82" s="119">
        <f>+D82*E82</f>
        <v>0</v>
      </c>
      <c r="G82" s="125"/>
    </row>
    <row r="83" spans="1:7" x14ac:dyDescent="0.2">
      <c r="A83" s="269"/>
      <c r="B83" s="273"/>
      <c r="C83" s="273"/>
      <c r="D83" s="270"/>
      <c r="E83" s="270"/>
      <c r="F83" s="119">
        <f>+D83*E83</f>
        <v>0</v>
      </c>
      <c r="G83" s="125"/>
    </row>
    <row r="84" spans="1:7" x14ac:dyDescent="0.2">
      <c r="A84" s="269"/>
      <c r="B84" s="273"/>
      <c r="C84" s="273"/>
      <c r="D84" s="270"/>
      <c r="E84" s="270"/>
      <c r="F84" s="119">
        <f>+D84*E84</f>
        <v>0</v>
      </c>
      <c r="G84" s="125"/>
    </row>
    <row r="85" spans="1:7" ht="15.75" customHeight="1" x14ac:dyDescent="0.2">
      <c r="A85" s="433" t="s">
        <v>189</v>
      </c>
      <c r="B85" s="433"/>
      <c r="C85" s="433"/>
      <c r="D85" s="433"/>
      <c r="E85" s="433"/>
      <c r="F85" s="120">
        <f>SUM(F82:F84)</f>
        <v>0</v>
      </c>
      <c r="G85" s="130"/>
    </row>
    <row r="86" spans="1:7" ht="9" customHeight="1" x14ac:dyDescent="0.2">
      <c r="A86" s="110"/>
      <c r="B86" s="110"/>
      <c r="C86" s="110"/>
      <c r="D86" s="110"/>
      <c r="E86" s="110"/>
      <c r="F86" s="110"/>
      <c r="G86" s="110"/>
    </row>
    <row r="87" spans="1:7" ht="9" customHeight="1" thickBot="1" x14ac:dyDescent="0.25">
      <c r="A87" s="110"/>
      <c r="B87" s="110"/>
      <c r="C87" s="110"/>
      <c r="D87" s="110"/>
      <c r="E87" s="110"/>
      <c r="F87" s="110"/>
      <c r="G87" s="110"/>
    </row>
    <row r="88" spans="1:7" ht="18.75" thickTop="1" x14ac:dyDescent="0.2">
      <c r="A88" s="455" t="s">
        <v>255</v>
      </c>
      <c r="B88" s="456"/>
      <c r="C88" s="456"/>
      <c r="D88" s="456"/>
      <c r="E88" s="456"/>
      <c r="F88" s="456"/>
      <c r="G88" s="457"/>
    </row>
    <row r="89" spans="1:7" ht="22.5" x14ac:dyDescent="0.2">
      <c r="A89" s="128" t="s">
        <v>193</v>
      </c>
      <c r="B89" s="117" t="s">
        <v>233</v>
      </c>
      <c r="C89" s="117" t="s">
        <v>234</v>
      </c>
      <c r="D89" s="117" t="s">
        <v>235</v>
      </c>
      <c r="E89" s="117" t="s">
        <v>236</v>
      </c>
      <c r="F89" s="117" t="s">
        <v>8</v>
      </c>
      <c r="G89" s="131" t="s">
        <v>191</v>
      </c>
    </row>
    <row r="90" spans="1:7" x14ac:dyDescent="0.2">
      <c r="A90" s="276"/>
      <c r="B90" s="273"/>
      <c r="C90" s="273"/>
      <c r="D90" s="270"/>
      <c r="E90" s="270"/>
      <c r="F90" s="119">
        <f>+D90*E90</f>
        <v>0</v>
      </c>
      <c r="G90" s="114"/>
    </row>
    <row r="91" spans="1:7" x14ac:dyDescent="0.2">
      <c r="A91" s="276"/>
      <c r="B91" s="273"/>
      <c r="C91" s="273"/>
      <c r="D91" s="270"/>
      <c r="E91" s="270"/>
      <c r="F91" s="119">
        <f>+D91*E91</f>
        <v>0</v>
      </c>
      <c r="G91" s="114"/>
    </row>
    <row r="92" spans="1:7" x14ac:dyDescent="0.2">
      <c r="A92" s="276"/>
      <c r="B92" s="274"/>
      <c r="C92" s="277"/>
      <c r="D92" s="270"/>
      <c r="E92" s="270"/>
      <c r="F92" s="119">
        <f>+D92*E92</f>
        <v>0</v>
      </c>
      <c r="G92" s="114"/>
    </row>
    <row r="93" spans="1:7" ht="15.75" customHeight="1" thickBot="1" x14ac:dyDescent="0.25">
      <c r="A93" s="434" t="s">
        <v>189</v>
      </c>
      <c r="B93" s="435"/>
      <c r="C93" s="435"/>
      <c r="D93" s="435"/>
      <c r="E93" s="436"/>
      <c r="F93" s="129">
        <f>SUM(F90:F92)</f>
        <v>0</v>
      </c>
      <c r="G93" s="132"/>
    </row>
    <row r="94" spans="1:7" ht="9" customHeight="1" thickTop="1" x14ac:dyDescent="0.2">
      <c r="A94" s="110"/>
      <c r="B94" s="110"/>
      <c r="C94" s="110"/>
      <c r="D94" s="110"/>
      <c r="E94" s="110"/>
      <c r="F94" s="110"/>
      <c r="G94" s="110"/>
    </row>
    <row r="95" spans="1:7" ht="9" customHeight="1" x14ac:dyDescent="0.2">
      <c r="A95" s="110"/>
      <c r="B95" s="110"/>
      <c r="C95" s="110"/>
      <c r="D95" s="110"/>
      <c r="E95" s="110"/>
      <c r="F95" s="110"/>
      <c r="G95" s="110"/>
    </row>
    <row r="96" spans="1:7" ht="18" x14ac:dyDescent="0.2">
      <c r="A96" s="386" t="s">
        <v>257</v>
      </c>
      <c r="B96" s="386"/>
      <c r="C96" s="386"/>
      <c r="D96" s="386"/>
      <c r="E96" s="386"/>
      <c r="F96" s="386"/>
      <c r="G96" s="386"/>
    </row>
    <row r="97" spans="1:7" ht="24" customHeight="1" x14ac:dyDescent="0.2">
      <c r="A97" s="117" t="s">
        <v>193</v>
      </c>
      <c r="B97" s="117" t="s">
        <v>237</v>
      </c>
      <c r="C97" s="117" t="s">
        <v>238</v>
      </c>
      <c r="D97" s="117" t="s">
        <v>239</v>
      </c>
      <c r="E97" s="117" t="s">
        <v>190</v>
      </c>
      <c r="F97" s="117" t="s">
        <v>8</v>
      </c>
      <c r="G97" s="117" t="s">
        <v>191</v>
      </c>
    </row>
    <row r="98" spans="1:7" x14ac:dyDescent="0.2">
      <c r="A98" s="269" t="s">
        <v>361</v>
      </c>
      <c r="B98" s="273"/>
      <c r="C98" s="273"/>
      <c r="D98" s="25">
        <f>SUM(D64:D66)</f>
        <v>0</v>
      </c>
      <c r="E98" s="270">
        <v>120000</v>
      </c>
      <c r="F98" s="119">
        <f>+E98*D98</f>
        <v>0</v>
      </c>
      <c r="G98" s="125" t="s">
        <v>339</v>
      </c>
    </row>
    <row r="99" spans="1:7" x14ac:dyDescent="0.2">
      <c r="A99" s="269"/>
      <c r="B99" s="273"/>
      <c r="C99" s="273"/>
      <c r="D99" s="270"/>
      <c r="E99" s="270"/>
      <c r="F99" s="119">
        <f>+E99*D99</f>
        <v>0</v>
      </c>
      <c r="G99" s="125"/>
    </row>
    <row r="100" spans="1:7" x14ac:dyDescent="0.2">
      <c r="A100" s="269"/>
      <c r="B100" s="273"/>
      <c r="C100" s="273"/>
      <c r="D100" s="270"/>
      <c r="E100" s="270"/>
      <c r="F100" s="119">
        <f>+E100*D100</f>
        <v>0</v>
      </c>
      <c r="G100" s="125"/>
    </row>
    <row r="101" spans="1:7" x14ac:dyDescent="0.2">
      <c r="A101" s="430" t="s">
        <v>189</v>
      </c>
      <c r="B101" s="431"/>
      <c r="C101" s="431"/>
      <c r="D101" s="431"/>
      <c r="E101" s="432"/>
      <c r="F101" s="120">
        <f>SUM(F98:F100)</f>
        <v>0</v>
      </c>
      <c r="G101" s="130"/>
    </row>
    <row r="102" spans="1:7" ht="9" customHeight="1" x14ac:dyDescent="0.2">
      <c r="A102" s="5"/>
      <c r="B102" s="110"/>
      <c r="C102" s="110"/>
      <c r="D102" s="110"/>
      <c r="E102" s="110"/>
      <c r="F102" s="110"/>
      <c r="G102" s="110"/>
    </row>
    <row r="103" spans="1:7" ht="9" customHeight="1" x14ac:dyDescent="0.2">
      <c r="A103" s="110"/>
      <c r="B103" s="110"/>
      <c r="C103" s="110"/>
      <c r="D103" s="110"/>
      <c r="E103" s="110"/>
      <c r="F103" s="110"/>
      <c r="G103" s="110"/>
    </row>
    <row r="104" spans="1:7" ht="18" x14ac:dyDescent="0.2">
      <c r="A104" s="386" t="s">
        <v>258</v>
      </c>
      <c r="B104" s="386"/>
      <c r="C104" s="386"/>
      <c r="D104" s="386"/>
      <c r="E104" s="386"/>
      <c r="F104" s="386"/>
      <c r="G104" s="386"/>
    </row>
    <row r="105" spans="1:7" ht="25.5" customHeight="1" x14ac:dyDescent="0.2">
      <c r="A105" s="117" t="s">
        <v>193</v>
      </c>
      <c r="B105" s="117" t="s">
        <v>237</v>
      </c>
      <c r="C105" s="117" t="s">
        <v>238</v>
      </c>
      <c r="D105" s="117" t="s">
        <v>239</v>
      </c>
      <c r="E105" s="117" t="s">
        <v>190</v>
      </c>
      <c r="F105" s="117" t="s">
        <v>8</v>
      </c>
      <c r="G105" s="117" t="s">
        <v>191</v>
      </c>
    </row>
    <row r="106" spans="1:7" ht="22.5" x14ac:dyDescent="0.2">
      <c r="A106" s="269" t="s">
        <v>362</v>
      </c>
      <c r="B106" s="273"/>
      <c r="C106" s="273"/>
      <c r="D106" s="25">
        <f>SUM(D72:D76)</f>
        <v>0</v>
      </c>
      <c r="E106" s="270">
        <v>120000</v>
      </c>
      <c r="F106" s="119">
        <f>+E106*D106</f>
        <v>0</v>
      </c>
      <c r="G106" s="125" t="s">
        <v>339</v>
      </c>
    </row>
    <row r="107" spans="1:7" x14ac:dyDescent="0.2">
      <c r="A107" s="269"/>
      <c r="B107" s="273"/>
      <c r="C107" s="273"/>
      <c r="D107" s="270"/>
      <c r="E107" s="270"/>
      <c r="F107" s="119">
        <f>+E107*D107</f>
        <v>0</v>
      </c>
      <c r="G107" s="125"/>
    </row>
    <row r="108" spans="1:7" x14ac:dyDescent="0.2">
      <c r="A108" s="269"/>
      <c r="B108" s="273"/>
      <c r="C108" s="273"/>
      <c r="D108" s="270"/>
      <c r="E108" s="270"/>
      <c r="F108" s="119">
        <f>+E108*D108</f>
        <v>0</v>
      </c>
      <c r="G108" s="125"/>
    </row>
    <row r="109" spans="1:7" x14ac:dyDescent="0.2">
      <c r="A109" s="430" t="s">
        <v>189</v>
      </c>
      <c r="B109" s="431"/>
      <c r="C109" s="431"/>
      <c r="D109" s="431"/>
      <c r="E109" s="432"/>
      <c r="F109" s="120">
        <f>SUM(F106:F108)</f>
        <v>0</v>
      </c>
      <c r="G109" s="130"/>
    </row>
    <row r="110" spans="1:7" ht="9" customHeight="1" x14ac:dyDescent="0.2">
      <c r="A110" s="5"/>
      <c r="B110" s="110"/>
      <c r="C110" s="110"/>
      <c r="D110" s="110"/>
      <c r="E110" s="110"/>
      <c r="F110" s="110"/>
      <c r="G110" s="110"/>
    </row>
    <row r="111" spans="1:7" ht="9" customHeight="1" x14ac:dyDescent="0.2">
      <c r="A111" s="110"/>
      <c r="B111" s="110"/>
      <c r="C111" s="110"/>
      <c r="D111" s="110"/>
      <c r="E111" s="110"/>
      <c r="F111" s="110"/>
      <c r="G111" s="110"/>
    </row>
    <row r="112" spans="1:7" ht="18" x14ac:dyDescent="0.25">
      <c r="A112" s="444" t="s">
        <v>259</v>
      </c>
      <c r="B112" s="444"/>
      <c r="C112" s="444"/>
      <c r="D112" s="444"/>
      <c r="E112" s="444"/>
      <c r="F112" s="444"/>
      <c r="G112" s="444"/>
    </row>
    <row r="113" spans="1:7" ht="22.5" customHeight="1" x14ac:dyDescent="0.2">
      <c r="A113" s="117" t="s">
        <v>7</v>
      </c>
      <c r="B113" s="117" t="s">
        <v>193</v>
      </c>
      <c r="C113" s="117" t="s">
        <v>238</v>
      </c>
      <c r="D113" s="117" t="s">
        <v>240</v>
      </c>
      <c r="E113" s="117" t="s">
        <v>241</v>
      </c>
      <c r="F113" s="117" t="s">
        <v>8</v>
      </c>
      <c r="G113" s="117" t="s">
        <v>191</v>
      </c>
    </row>
    <row r="114" spans="1:7" x14ac:dyDescent="0.2">
      <c r="A114" s="269"/>
      <c r="B114" s="273"/>
      <c r="C114" s="273"/>
      <c r="D114" s="270"/>
      <c r="E114" s="270"/>
      <c r="F114" s="119">
        <f>+D114*E114</f>
        <v>0</v>
      </c>
      <c r="G114" s="450" t="s">
        <v>242</v>
      </c>
    </row>
    <row r="115" spans="1:7" x14ac:dyDescent="0.2">
      <c r="A115" s="269"/>
      <c r="B115" s="273"/>
      <c r="C115" s="273"/>
      <c r="D115" s="270"/>
      <c r="E115" s="270"/>
      <c r="F115" s="119">
        <f>+D115*E115</f>
        <v>0</v>
      </c>
      <c r="G115" s="450"/>
    </row>
    <row r="116" spans="1:7" x14ac:dyDescent="0.2">
      <c r="A116" s="269"/>
      <c r="B116" s="270"/>
      <c r="C116" s="273"/>
      <c r="D116" s="270"/>
      <c r="E116" s="270"/>
      <c r="F116" s="119">
        <f>+D116*E116</f>
        <v>0</v>
      </c>
      <c r="G116" s="450"/>
    </row>
    <row r="117" spans="1:7" x14ac:dyDescent="0.2">
      <c r="A117" s="430" t="s">
        <v>189</v>
      </c>
      <c r="B117" s="431"/>
      <c r="C117" s="431"/>
      <c r="D117" s="431"/>
      <c r="E117" s="432"/>
      <c r="F117" s="120">
        <f>SUM(F114:F116)</f>
        <v>0</v>
      </c>
      <c r="G117" s="130"/>
    </row>
    <row r="118" spans="1:7" ht="9" customHeight="1" x14ac:dyDescent="0.2">
      <c r="A118" s="110"/>
      <c r="B118" s="110"/>
      <c r="C118" s="110"/>
      <c r="D118" s="110"/>
      <c r="E118" s="110"/>
      <c r="F118" s="110"/>
      <c r="G118" s="110"/>
    </row>
    <row r="119" spans="1:7" ht="9" customHeight="1" x14ac:dyDescent="0.2">
      <c r="A119" s="110"/>
      <c r="B119" s="110"/>
      <c r="C119" s="110"/>
      <c r="D119" s="110"/>
      <c r="E119" s="110"/>
      <c r="F119" s="110"/>
      <c r="G119" s="110"/>
    </row>
    <row r="120" spans="1:7" ht="18" x14ac:dyDescent="0.25">
      <c r="A120" s="444" t="s">
        <v>260</v>
      </c>
      <c r="B120" s="444"/>
      <c r="C120" s="444"/>
      <c r="D120" s="444"/>
      <c r="E120" s="444"/>
      <c r="F120" s="444"/>
      <c r="G120" s="444"/>
    </row>
    <row r="121" spans="1:7" x14ac:dyDescent="0.2">
      <c r="A121" s="117" t="s">
        <v>7</v>
      </c>
      <c r="B121" s="117" t="s">
        <v>193</v>
      </c>
      <c r="C121" s="117" t="s">
        <v>238</v>
      </c>
      <c r="D121" s="117" t="s">
        <v>240</v>
      </c>
      <c r="E121" s="117" t="s">
        <v>241</v>
      </c>
      <c r="F121" s="117" t="s">
        <v>8</v>
      </c>
      <c r="G121" s="117" t="s">
        <v>191</v>
      </c>
    </row>
    <row r="122" spans="1:7" x14ac:dyDescent="0.2">
      <c r="A122" s="269"/>
      <c r="B122" s="269"/>
      <c r="C122" s="269"/>
      <c r="D122" s="271"/>
      <c r="E122" s="271"/>
      <c r="F122" s="119">
        <f>+D122*E122</f>
        <v>0</v>
      </c>
      <c r="G122" s="450" t="s">
        <v>242</v>
      </c>
    </row>
    <row r="123" spans="1:7" x14ac:dyDescent="0.2">
      <c r="A123" s="269"/>
      <c r="B123" s="271"/>
      <c r="C123" s="269"/>
      <c r="D123" s="271"/>
      <c r="E123" s="271"/>
      <c r="F123" s="119">
        <f>+D123*E123</f>
        <v>0</v>
      </c>
      <c r="G123" s="450"/>
    </row>
    <row r="124" spans="1:7" x14ac:dyDescent="0.2">
      <c r="A124" s="430" t="s">
        <v>189</v>
      </c>
      <c r="B124" s="431"/>
      <c r="C124" s="431"/>
      <c r="D124" s="431"/>
      <c r="E124" s="432"/>
      <c r="F124" s="120">
        <f>SUM(F122:F123)</f>
        <v>0</v>
      </c>
      <c r="G124" s="130"/>
    </row>
    <row r="125" spans="1:7" ht="9" customHeight="1" x14ac:dyDescent="0.2">
      <c r="A125" s="110"/>
      <c r="B125" s="110"/>
      <c r="C125" s="110"/>
      <c r="D125" s="110"/>
      <c r="E125" s="110"/>
      <c r="F125" s="110"/>
      <c r="G125" s="110"/>
    </row>
    <row r="126" spans="1:7" ht="9" customHeight="1" x14ac:dyDescent="0.2">
      <c r="A126" s="110"/>
      <c r="B126" s="110"/>
      <c r="C126" s="110"/>
      <c r="D126" s="110"/>
      <c r="E126" s="110"/>
      <c r="F126" s="110"/>
      <c r="G126" s="110"/>
    </row>
    <row r="127" spans="1:7" ht="18" x14ac:dyDescent="0.2">
      <c r="A127" s="386" t="s">
        <v>199</v>
      </c>
      <c r="B127" s="386"/>
      <c r="C127" s="386"/>
      <c r="D127" s="386"/>
      <c r="E127" s="386"/>
      <c r="F127" s="386"/>
      <c r="G127" s="386"/>
    </row>
    <row r="128" spans="1:7" x14ac:dyDescent="0.2">
      <c r="A128" s="117" t="s">
        <v>7</v>
      </c>
      <c r="B128" s="117" t="s">
        <v>200</v>
      </c>
      <c r="C128" s="117" t="s">
        <v>201</v>
      </c>
      <c r="D128" s="117" t="s">
        <v>202</v>
      </c>
      <c r="E128" s="117" t="s">
        <v>203</v>
      </c>
      <c r="F128" s="117" t="s">
        <v>204</v>
      </c>
      <c r="G128" s="117" t="s">
        <v>193</v>
      </c>
    </row>
    <row r="129" spans="1:7" x14ac:dyDescent="0.2">
      <c r="A129" s="3" t="s">
        <v>25</v>
      </c>
      <c r="B129" s="273"/>
      <c r="C129" s="273"/>
      <c r="D129" s="270"/>
      <c r="E129" s="270"/>
      <c r="F129" s="119">
        <f>+C129*E129*D129</f>
        <v>0</v>
      </c>
      <c r="G129" s="125"/>
    </row>
    <row r="130" spans="1:7" x14ac:dyDescent="0.2">
      <c r="A130" s="3" t="s">
        <v>24</v>
      </c>
      <c r="B130" s="273"/>
      <c r="C130" s="273"/>
      <c r="D130" s="270"/>
      <c r="E130" s="270"/>
      <c r="F130" s="119">
        <f>+C130*E130*D130</f>
        <v>0</v>
      </c>
      <c r="G130" s="125"/>
    </row>
    <row r="131" spans="1:7" ht="15.75" customHeight="1" x14ac:dyDescent="0.2">
      <c r="A131" s="433" t="s">
        <v>189</v>
      </c>
      <c r="B131" s="433"/>
      <c r="C131" s="433"/>
      <c r="D131" s="433"/>
      <c r="E131" s="433"/>
      <c r="F131" s="120">
        <f>SUM(F129:F130)</f>
        <v>0</v>
      </c>
      <c r="G131" s="130"/>
    </row>
    <row r="132" spans="1:7" ht="9" customHeight="1" x14ac:dyDescent="0.2">
      <c r="A132" s="110"/>
      <c r="B132" s="110"/>
      <c r="C132" s="110"/>
      <c r="D132" s="110"/>
      <c r="E132" s="110"/>
      <c r="F132" s="110"/>
      <c r="G132" s="110"/>
    </row>
    <row r="133" spans="1:7" ht="9" customHeight="1" x14ac:dyDescent="0.2">
      <c r="A133" s="110"/>
      <c r="B133" s="110"/>
      <c r="C133" s="110"/>
      <c r="D133" s="110"/>
      <c r="E133" s="110"/>
      <c r="F133" s="110"/>
      <c r="G133" s="110"/>
    </row>
    <row r="134" spans="1:7" ht="18" x14ac:dyDescent="0.2">
      <c r="A134" s="386" t="s">
        <v>261</v>
      </c>
      <c r="B134" s="386"/>
      <c r="C134" s="386"/>
      <c r="D134" s="386"/>
      <c r="E134" s="386"/>
      <c r="F134" s="386"/>
      <c r="G134" s="386"/>
    </row>
    <row r="135" spans="1:7" x14ac:dyDescent="0.2">
      <c r="A135" s="117" t="s">
        <v>7</v>
      </c>
      <c r="B135" s="117" t="s">
        <v>205</v>
      </c>
      <c r="C135" s="117" t="s">
        <v>202</v>
      </c>
      <c r="D135" s="117" t="s">
        <v>197</v>
      </c>
      <c r="E135" s="117" t="s">
        <v>206</v>
      </c>
      <c r="F135" s="117" t="s">
        <v>204</v>
      </c>
      <c r="G135" s="117"/>
    </row>
    <row r="136" spans="1:7" x14ac:dyDescent="0.2">
      <c r="A136" s="3" t="s">
        <v>384</v>
      </c>
      <c r="B136" s="270"/>
      <c r="C136" s="270"/>
      <c r="D136" s="270"/>
      <c r="E136" s="271"/>
      <c r="F136" s="119">
        <f>+C136*D136</f>
        <v>0</v>
      </c>
      <c r="G136" s="125"/>
    </row>
    <row r="137" spans="1:7" x14ac:dyDescent="0.2">
      <c r="A137" s="3" t="s">
        <v>310</v>
      </c>
      <c r="B137" s="270"/>
      <c r="C137" s="270"/>
      <c r="D137" s="270"/>
      <c r="E137" s="271"/>
      <c r="F137" s="119">
        <f>+C137*D137</f>
        <v>0</v>
      </c>
      <c r="G137" s="125"/>
    </row>
    <row r="138" spans="1:7" ht="15" customHeight="1" x14ac:dyDescent="0.2">
      <c r="A138" s="3" t="s">
        <v>36</v>
      </c>
      <c r="B138" s="270"/>
      <c r="C138" s="270"/>
      <c r="D138" s="270"/>
      <c r="E138" s="271"/>
      <c r="F138" s="119">
        <f>+C138*D138</f>
        <v>0</v>
      </c>
      <c r="G138" s="125"/>
    </row>
    <row r="139" spans="1:7" x14ac:dyDescent="0.2">
      <c r="A139" s="3" t="s">
        <v>125</v>
      </c>
      <c r="B139" s="270"/>
      <c r="C139" s="270"/>
      <c r="D139" s="270"/>
      <c r="E139" s="269"/>
      <c r="F139" s="119">
        <f>+C139*D139</f>
        <v>0</v>
      </c>
      <c r="G139" s="125"/>
    </row>
    <row r="140" spans="1:7" x14ac:dyDescent="0.2">
      <c r="A140" s="430" t="s">
        <v>189</v>
      </c>
      <c r="B140" s="431"/>
      <c r="C140" s="431"/>
      <c r="D140" s="431"/>
      <c r="E140" s="432"/>
      <c r="F140" s="120">
        <f>SUM(F136:F139)</f>
        <v>0</v>
      </c>
      <c r="G140" s="130"/>
    </row>
    <row r="141" spans="1:7" ht="9" customHeight="1" x14ac:dyDescent="0.2">
      <c r="A141" s="110"/>
      <c r="B141" s="110"/>
      <c r="C141" s="110"/>
      <c r="D141" s="110"/>
      <c r="E141" s="110"/>
      <c r="F141" s="110"/>
      <c r="G141" s="110"/>
    </row>
    <row r="142" spans="1:7" ht="9" customHeight="1" x14ac:dyDescent="0.2">
      <c r="A142" s="110"/>
      <c r="B142" s="110"/>
      <c r="C142" s="110"/>
      <c r="D142" s="110"/>
      <c r="E142" s="110"/>
      <c r="F142" s="110"/>
      <c r="G142" s="110"/>
    </row>
    <row r="143" spans="1:7" ht="18" x14ac:dyDescent="0.2">
      <c r="A143" s="443" t="s">
        <v>207</v>
      </c>
      <c r="B143" s="443"/>
      <c r="C143" s="443"/>
      <c r="D143" s="443"/>
      <c r="E143" s="443"/>
      <c r="F143" s="443"/>
      <c r="G143" s="443"/>
    </row>
    <row r="144" spans="1:7" x14ac:dyDescent="0.2">
      <c r="A144" s="117" t="s">
        <v>7</v>
      </c>
      <c r="B144" s="117" t="s">
        <v>202</v>
      </c>
      <c r="C144" s="117" t="s">
        <v>208</v>
      </c>
      <c r="D144" s="117" t="s">
        <v>203</v>
      </c>
      <c r="E144" s="117" t="s">
        <v>189</v>
      </c>
      <c r="F144" s="439" t="s">
        <v>191</v>
      </c>
      <c r="G144" s="439"/>
    </row>
    <row r="145" spans="1:7" x14ac:dyDescent="0.2">
      <c r="A145" s="3" t="s">
        <v>12</v>
      </c>
      <c r="B145" s="273"/>
      <c r="C145" s="270"/>
      <c r="D145" s="270"/>
      <c r="E145" s="119">
        <f>(B145*C145)*D145</f>
        <v>0</v>
      </c>
      <c r="F145" s="440"/>
      <c r="G145" s="440"/>
    </row>
    <row r="146" spans="1:7" x14ac:dyDescent="0.2">
      <c r="A146" s="3" t="s">
        <v>13</v>
      </c>
      <c r="B146" s="115">
        <f>AVERAGE(INGRESOS!B47:C47)</f>
        <v>0</v>
      </c>
      <c r="C146" s="122">
        <v>6500</v>
      </c>
      <c r="D146" s="122">
        <v>12</v>
      </c>
      <c r="E146" s="119">
        <f>+B146*C146*D146</f>
        <v>0</v>
      </c>
      <c r="F146" s="440"/>
      <c r="G146" s="440"/>
    </row>
    <row r="147" spans="1:7" x14ac:dyDescent="0.2">
      <c r="A147" s="3" t="s">
        <v>14</v>
      </c>
      <c r="B147" s="273"/>
      <c r="C147" s="270"/>
      <c r="D147" s="270"/>
      <c r="E147" s="119">
        <f>(B147*C147)*D147</f>
        <v>0</v>
      </c>
      <c r="F147" s="440"/>
      <c r="G147" s="440"/>
    </row>
    <row r="148" spans="1:7" x14ac:dyDescent="0.2">
      <c r="A148" s="3" t="s">
        <v>15</v>
      </c>
      <c r="B148" s="273"/>
      <c r="C148" s="270"/>
      <c r="D148" s="270"/>
      <c r="E148" s="119">
        <f>(B148*C148)*D148</f>
        <v>0</v>
      </c>
      <c r="F148" s="440"/>
      <c r="G148" s="440"/>
    </row>
    <row r="149" spans="1:7" x14ac:dyDescent="0.2">
      <c r="A149" s="430" t="s">
        <v>189</v>
      </c>
      <c r="B149" s="431"/>
      <c r="C149" s="431"/>
      <c r="D149" s="432"/>
      <c r="E149" s="120">
        <f>SUM(E145:E148)</f>
        <v>0</v>
      </c>
      <c r="F149" s="447"/>
      <c r="G149" s="447"/>
    </row>
    <row r="150" spans="1:7" ht="9" customHeight="1" x14ac:dyDescent="0.2">
      <c r="A150" s="110"/>
      <c r="B150" s="110"/>
      <c r="C150" s="110"/>
      <c r="D150" s="110"/>
      <c r="E150" s="110"/>
      <c r="F150" s="110"/>
      <c r="G150" s="110"/>
    </row>
    <row r="151" spans="1:7" ht="9" customHeight="1" x14ac:dyDescent="0.2">
      <c r="A151" s="110"/>
      <c r="B151" s="110"/>
      <c r="C151" s="110"/>
      <c r="D151" s="110"/>
      <c r="E151" s="110"/>
      <c r="F151" s="110"/>
      <c r="G151" s="110"/>
    </row>
    <row r="152" spans="1:7" ht="16.5" x14ac:dyDescent="0.2">
      <c r="A152" s="451" t="s">
        <v>209</v>
      </c>
      <c r="B152" s="451"/>
      <c r="C152" s="451"/>
      <c r="D152" s="451"/>
      <c r="E152" s="451"/>
      <c r="F152" s="451"/>
      <c r="G152" s="451"/>
    </row>
    <row r="153" spans="1:7" x14ac:dyDescent="0.2">
      <c r="A153" s="123" t="s">
        <v>7</v>
      </c>
      <c r="B153" s="123" t="s">
        <v>210</v>
      </c>
      <c r="C153" s="123" t="s">
        <v>211</v>
      </c>
      <c r="D153" s="123" t="s">
        <v>212</v>
      </c>
      <c r="E153" s="452" t="s">
        <v>213</v>
      </c>
      <c r="F153" s="452"/>
      <c r="G153" s="452"/>
    </row>
    <row r="154" spans="1:7" x14ac:dyDescent="0.2">
      <c r="A154" s="3" t="s">
        <v>126</v>
      </c>
      <c r="B154" s="270"/>
      <c r="C154" s="270"/>
      <c r="D154" s="119">
        <f>+B154*C154</f>
        <v>0</v>
      </c>
      <c r="E154" s="440"/>
      <c r="F154" s="440"/>
      <c r="G154" s="440"/>
    </row>
    <row r="155" spans="1:7" x14ac:dyDescent="0.2">
      <c r="A155" s="3" t="s">
        <v>17</v>
      </c>
      <c r="B155" s="270"/>
      <c r="C155" s="270"/>
      <c r="D155" s="119">
        <f t="shared" ref="D155:D163" si="2">+B155*C155</f>
        <v>0</v>
      </c>
      <c r="E155" s="440"/>
      <c r="F155" s="440"/>
      <c r="G155" s="440"/>
    </row>
    <row r="156" spans="1:7" x14ac:dyDescent="0.2">
      <c r="A156" s="3" t="s">
        <v>18</v>
      </c>
      <c r="B156" s="270"/>
      <c r="C156" s="270"/>
      <c r="D156" s="119">
        <f t="shared" si="2"/>
        <v>0</v>
      </c>
      <c r="E156" s="440"/>
      <c r="F156" s="440"/>
      <c r="G156" s="440"/>
    </row>
    <row r="157" spans="1:7" x14ac:dyDescent="0.2">
      <c r="A157" s="3" t="s">
        <v>19</v>
      </c>
      <c r="B157" s="270"/>
      <c r="C157" s="270"/>
      <c r="D157" s="119">
        <f t="shared" si="2"/>
        <v>0</v>
      </c>
      <c r="E157" s="440"/>
      <c r="F157" s="440"/>
      <c r="G157" s="440"/>
    </row>
    <row r="158" spans="1:7" x14ac:dyDescent="0.2">
      <c r="A158" s="3" t="s">
        <v>20</v>
      </c>
      <c r="B158" s="270"/>
      <c r="C158" s="270"/>
      <c r="D158" s="119">
        <f t="shared" si="2"/>
        <v>0</v>
      </c>
      <c r="E158" s="440"/>
      <c r="F158" s="440"/>
      <c r="G158" s="440"/>
    </row>
    <row r="159" spans="1:7" x14ac:dyDescent="0.2">
      <c r="A159" s="3" t="s">
        <v>127</v>
      </c>
      <c r="B159" s="270"/>
      <c r="C159" s="270"/>
      <c r="D159" s="119">
        <f t="shared" si="2"/>
        <v>0</v>
      </c>
      <c r="E159" s="440"/>
      <c r="F159" s="440"/>
      <c r="G159" s="440"/>
    </row>
    <row r="160" spans="1:7" x14ac:dyDescent="0.2">
      <c r="A160" s="3" t="s">
        <v>128</v>
      </c>
      <c r="B160" s="270"/>
      <c r="C160" s="270"/>
      <c r="D160" s="119">
        <f t="shared" si="2"/>
        <v>0</v>
      </c>
      <c r="E160" s="440"/>
      <c r="F160" s="440"/>
      <c r="G160" s="440"/>
    </row>
    <row r="161" spans="1:7" x14ac:dyDescent="0.2">
      <c r="A161" s="3" t="s">
        <v>16</v>
      </c>
      <c r="B161" s="270"/>
      <c r="C161" s="270"/>
      <c r="D161" s="119">
        <f t="shared" si="2"/>
        <v>0</v>
      </c>
      <c r="E161" s="440"/>
      <c r="F161" s="440"/>
      <c r="G161" s="440"/>
    </row>
    <row r="162" spans="1:7" x14ac:dyDescent="0.2">
      <c r="A162" s="3" t="s">
        <v>130</v>
      </c>
      <c r="B162" s="270"/>
      <c r="C162" s="270"/>
      <c r="D162" s="119">
        <f t="shared" si="2"/>
        <v>0</v>
      </c>
      <c r="E162" s="440"/>
      <c r="F162" s="440"/>
      <c r="G162" s="440"/>
    </row>
    <row r="163" spans="1:7" x14ac:dyDescent="0.2">
      <c r="A163" s="3" t="s">
        <v>262</v>
      </c>
      <c r="B163" s="270">
        <v>70000</v>
      </c>
      <c r="C163" s="25">
        <f>SUM(D64:D66)+SUM(D72:D76)</f>
        <v>0</v>
      </c>
      <c r="D163" s="119">
        <f t="shared" si="2"/>
        <v>0</v>
      </c>
      <c r="E163" s="440" t="s">
        <v>293</v>
      </c>
      <c r="F163" s="440"/>
      <c r="G163" s="440"/>
    </row>
    <row r="164" spans="1:7" ht="15.75" customHeight="1" thickBot="1" x14ac:dyDescent="0.25">
      <c r="A164" s="434" t="s">
        <v>189</v>
      </c>
      <c r="B164" s="435"/>
      <c r="C164" s="436"/>
      <c r="D164" s="133">
        <f>SUM(D154:D163)</f>
        <v>0</v>
      </c>
      <c r="E164" s="441"/>
      <c r="F164" s="441"/>
      <c r="G164" s="442"/>
    </row>
    <row r="165" spans="1:7" ht="9" customHeight="1" thickTop="1" x14ac:dyDescent="0.2">
      <c r="A165" s="110"/>
      <c r="B165" s="110"/>
      <c r="C165" s="110"/>
      <c r="D165" s="110"/>
      <c r="E165" s="110"/>
      <c r="F165" s="110"/>
      <c r="G165" s="110"/>
    </row>
    <row r="166" spans="1:7" ht="9" customHeight="1" x14ac:dyDescent="0.2">
      <c r="A166" s="110"/>
      <c r="B166" s="110"/>
      <c r="C166" s="110"/>
      <c r="D166" s="110"/>
      <c r="E166" s="110"/>
      <c r="F166" s="110"/>
      <c r="G166" s="110"/>
    </row>
    <row r="167" spans="1:7" ht="18" x14ac:dyDescent="0.2">
      <c r="A167" s="443" t="s">
        <v>263</v>
      </c>
      <c r="B167" s="443"/>
      <c r="C167" s="443"/>
      <c r="D167" s="443"/>
      <c r="E167" s="443"/>
      <c r="F167" s="443"/>
      <c r="G167" s="443"/>
    </row>
    <row r="168" spans="1:7" ht="22.5" x14ac:dyDescent="0.2">
      <c r="A168" s="117" t="s">
        <v>7</v>
      </c>
      <c r="B168" s="117" t="s">
        <v>214</v>
      </c>
      <c r="C168" s="117" t="s">
        <v>215</v>
      </c>
      <c r="D168" s="117" t="s">
        <v>190</v>
      </c>
      <c r="E168" s="117" t="s">
        <v>8</v>
      </c>
      <c r="F168" s="439" t="s">
        <v>191</v>
      </c>
      <c r="G168" s="439"/>
    </row>
    <row r="169" spans="1:7" x14ac:dyDescent="0.2">
      <c r="A169" s="3" t="s">
        <v>385</v>
      </c>
      <c r="B169" s="269"/>
      <c r="C169" s="273"/>
      <c r="D169" s="270"/>
      <c r="E169" s="119">
        <f t="shared" ref="E169:E175" si="3">+D169*C169</f>
        <v>0</v>
      </c>
      <c r="F169" s="437"/>
      <c r="G169" s="437"/>
    </row>
    <row r="170" spans="1:7" x14ac:dyDescent="0.2">
      <c r="A170" s="3" t="s">
        <v>216</v>
      </c>
      <c r="B170" s="269"/>
      <c r="C170" s="273"/>
      <c r="D170" s="270"/>
      <c r="E170" s="119">
        <f t="shared" si="3"/>
        <v>0</v>
      </c>
      <c r="F170" s="437"/>
      <c r="G170" s="437"/>
    </row>
    <row r="171" spans="1:7" x14ac:dyDescent="0.2">
      <c r="A171" s="3" t="s">
        <v>217</v>
      </c>
      <c r="B171" s="269"/>
      <c r="C171" s="273"/>
      <c r="D171" s="270"/>
      <c r="E171" s="119">
        <f t="shared" si="3"/>
        <v>0</v>
      </c>
      <c r="F171" s="437"/>
      <c r="G171" s="437"/>
    </row>
    <row r="172" spans="1:7" x14ac:dyDescent="0.2">
      <c r="A172" s="3" t="s">
        <v>218</v>
      </c>
      <c r="B172" s="269"/>
      <c r="C172" s="273"/>
      <c r="D172" s="270"/>
      <c r="E172" s="119">
        <f t="shared" si="3"/>
        <v>0</v>
      </c>
      <c r="F172" s="437"/>
      <c r="G172" s="437"/>
    </row>
    <row r="173" spans="1:7" x14ac:dyDescent="0.2">
      <c r="A173" s="3" t="s">
        <v>219</v>
      </c>
      <c r="B173" s="269"/>
      <c r="C173" s="270"/>
      <c r="D173" s="270"/>
      <c r="E173" s="119">
        <f t="shared" si="3"/>
        <v>0</v>
      </c>
      <c r="F173" s="437"/>
      <c r="G173" s="437"/>
    </row>
    <row r="174" spans="1:7" x14ac:dyDescent="0.2">
      <c r="A174" s="3" t="s">
        <v>220</v>
      </c>
      <c r="B174" s="269"/>
      <c r="C174" s="270"/>
      <c r="D174" s="270"/>
      <c r="E174" s="119">
        <f t="shared" si="3"/>
        <v>0</v>
      </c>
      <c r="F174" s="437"/>
      <c r="G174" s="437"/>
    </row>
    <row r="175" spans="1:7" x14ac:dyDescent="0.2">
      <c r="A175" s="3" t="s">
        <v>288</v>
      </c>
      <c r="B175" s="269"/>
      <c r="C175" s="270"/>
      <c r="D175" s="270"/>
      <c r="E175" s="119">
        <f t="shared" si="3"/>
        <v>0</v>
      </c>
      <c r="F175" s="437"/>
      <c r="G175" s="437"/>
    </row>
    <row r="176" spans="1:7" x14ac:dyDescent="0.2">
      <c r="A176" s="430" t="s">
        <v>189</v>
      </c>
      <c r="B176" s="431"/>
      <c r="C176" s="431"/>
      <c r="D176" s="432"/>
      <c r="E176" s="120">
        <f>SUM(E169:E175)</f>
        <v>0</v>
      </c>
      <c r="F176" s="447"/>
      <c r="G176" s="447"/>
    </row>
    <row r="177" spans="1:7" ht="9" customHeight="1" x14ac:dyDescent="0.2">
      <c r="A177" s="110"/>
      <c r="B177" s="110"/>
      <c r="C177" s="110"/>
      <c r="D177" s="110"/>
      <c r="E177" s="110"/>
      <c r="F177" s="110"/>
      <c r="G177" s="110"/>
    </row>
    <row r="178" spans="1:7" ht="9" customHeight="1" x14ac:dyDescent="0.2">
      <c r="A178" s="110"/>
      <c r="B178" s="110"/>
      <c r="C178" s="110"/>
      <c r="D178" s="110"/>
      <c r="E178" s="110"/>
      <c r="F178" s="110"/>
      <c r="G178" s="110"/>
    </row>
    <row r="179" spans="1:7" ht="18" x14ac:dyDescent="0.2">
      <c r="A179" s="443" t="s">
        <v>221</v>
      </c>
      <c r="B179" s="443"/>
      <c r="C179" s="443"/>
      <c r="D179" s="443"/>
      <c r="E179" s="443"/>
      <c r="F179" s="443"/>
      <c r="G179" s="443"/>
    </row>
    <row r="180" spans="1:7" x14ac:dyDescent="0.2">
      <c r="A180" s="117" t="s">
        <v>7</v>
      </c>
      <c r="B180" s="439" t="s">
        <v>222</v>
      </c>
      <c r="C180" s="439"/>
      <c r="D180" s="117" t="s">
        <v>202</v>
      </c>
      <c r="E180" s="117" t="s">
        <v>197</v>
      </c>
      <c r="F180" s="117" t="s">
        <v>189</v>
      </c>
      <c r="G180" s="135" t="s">
        <v>191</v>
      </c>
    </row>
    <row r="181" spans="1:7" x14ac:dyDescent="0.2">
      <c r="A181" s="3" t="s">
        <v>21</v>
      </c>
      <c r="B181" s="438"/>
      <c r="C181" s="438"/>
      <c r="D181" s="270"/>
      <c r="E181" s="270"/>
      <c r="F181" s="119">
        <f>E181*D181</f>
        <v>0</v>
      </c>
      <c r="G181" s="125"/>
    </row>
    <row r="182" spans="1:7" x14ac:dyDescent="0.2">
      <c r="A182" s="3" t="s">
        <v>223</v>
      </c>
      <c r="B182" s="438"/>
      <c r="C182" s="438"/>
      <c r="D182" s="270"/>
      <c r="E182" s="270"/>
      <c r="F182" s="119">
        <f>E182*D182</f>
        <v>0</v>
      </c>
      <c r="G182" s="125"/>
    </row>
    <row r="183" spans="1:7" ht="48.75" customHeight="1" x14ac:dyDescent="0.2">
      <c r="A183" s="74" t="s">
        <v>224</v>
      </c>
      <c r="B183" s="450" t="s">
        <v>324</v>
      </c>
      <c r="C183" s="450"/>
      <c r="D183" s="116">
        <v>1</v>
      </c>
      <c r="E183" s="278">
        <f>12*1750905</f>
        <v>21010860</v>
      </c>
      <c r="F183" s="136">
        <f>E183*D183</f>
        <v>21010860</v>
      </c>
      <c r="G183" s="134"/>
    </row>
    <row r="184" spans="1:7" x14ac:dyDescent="0.2">
      <c r="A184" s="430" t="s">
        <v>189</v>
      </c>
      <c r="B184" s="431"/>
      <c r="C184" s="431"/>
      <c r="D184" s="431"/>
      <c r="E184" s="432"/>
      <c r="F184" s="120">
        <f>SUM(F181:F183)</f>
        <v>21010860</v>
      </c>
      <c r="G184" s="130"/>
    </row>
    <row r="185" spans="1:7" ht="9" customHeight="1" x14ac:dyDescent="0.2">
      <c r="A185" s="110"/>
      <c r="B185" s="110"/>
      <c r="C185" s="110"/>
      <c r="D185" s="110"/>
      <c r="E185" s="110"/>
      <c r="F185" s="110"/>
      <c r="G185" s="110"/>
    </row>
    <row r="186" spans="1:7" ht="9" customHeight="1" x14ac:dyDescent="0.2">
      <c r="A186" s="110"/>
      <c r="B186" s="110"/>
      <c r="C186" s="110"/>
      <c r="D186" s="110"/>
      <c r="E186" s="110"/>
      <c r="F186" s="110"/>
      <c r="G186" s="110"/>
    </row>
    <row r="187" spans="1:7" ht="18" x14ac:dyDescent="0.25">
      <c r="A187" s="444" t="s">
        <v>225</v>
      </c>
      <c r="B187" s="444"/>
      <c r="C187" s="444"/>
      <c r="D187" s="444"/>
      <c r="E187" s="444"/>
      <c r="F187" s="444"/>
      <c r="G187" s="444"/>
    </row>
    <row r="188" spans="1:7" x14ac:dyDescent="0.2">
      <c r="A188" s="137" t="s">
        <v>7</v>
      </c>
      <c r="B188" s="137" t="s">
        <v>193</v>
      </c>
      <c r="C188" s="137" t="s">
        <v>202</v>
      </c>
      <c r="D188" s="137" t="s">
        <v>190</v>
      </c>
      <c r="E188" s="137" t="s">
        <v>8</v>
      </c>
      <c r="F188" s="445" t="s">
        <v>191</v>
      </c>
      <c r="G188" s="445"/>
    </row>
    <row r="189" spans="1:7" x14ac:dyDescent="0.2">
      <c r="A189" s="3" t="s">
        <v>24</v>
      </c>
      <c r="B189" s="271"/>
      <c r="C189" s="271"/>
      <c r="D189" s="271"/>
      <c r="E189" s="119">
        <f>+C189*D189</f>
        <v>0</v>
      </c>
      <c r="F189" s="446" t="s">
        <v>226</v>
      </c>
      <c r="G189" s="446"/>
    </row>
    <row r="190" spans="1:7" x14ac:dyDescent="0.2">
      <c r="A190" s="3" t="s">
        <v>25</v>
      </c>
      <c r="B190" s="271"/>
      <c r="C190" s="271"/>
      <c r="D190" s="271"/>
      <c r="E190" s="119">
        <f t="shared" ref="E190:E196" si="4">+C190*D190</f>
        <v>0</v>
      </c>
      <c r="F190" s="446"/>
      <c r="G190" s="446"/>
    </row>
    <row r="191" spans="1:7" x14ac:dyDescent="0.2">
      <c r="A191" s="3" t="s">
        <v>26</v>
      </c>
      <c r="B191" s="271"/>
      <c r="C191" s="271"/>
      <c r="D191" s="271"/>
      <c r="E191" s="119">
        <f t="shared" si="4"/>
        <v>0</v>
      </c>
      <c r="F191" s="446"/>
      <c r="G191" s="446"/>
    </row>
    <row r="192" spans="1:7" ht="17.25" customHeight="1" x14ac:dyDescent="0.2">
      <c r="A192" s="3" t="s">
        <v>27</v>
      </c>
      <c r="B192" s="270"/>
      <c r="C192" s="271"/>
      <c r="D192" s="271"/>
      <c r="E192" s="119">
        <f t="shared" si="4"/>
        <v>0</v>
      </c>
      <c r="F192" s="446"/>
      <c r="G192" s="446"/>
    </row>
    <row r="193" spans="1:7" x14ac:dyDescent="0.2">
      <c r="A193" s="3" t="s">
        <v>28</v>
      </c>
      <c r="B193" s="271"/>
      <c r="C193" s="271"/>
      <c r="D193" s="271"/>
      <c r="E193" s="119">
        <f>+C193*D193</f>
        <v>0</v>
      </c>
      <c r="F193" s="446"/>
      <c r="G193" s="446"/>
    </row>
    <row r="194" spans="1:7" x14ac:dyDescent="0.2">
      <c r="A194" s="3" t="s">
        <v>29</v>
      </c>
      <c r="B194" s="271"/>
      <c r="C194" s="271"/>
      <c r="D194" s="271"/>
      <c r="E194" s="119">
        <f t="shared" si="4"/>
        <v>0</v>
      </c>
      <c r="F194" s="446"/>
      <c r="G194" s="446"/>
    </row>
    <row r="195" spans="1:7" x14ac:dyDescent="0.2">
      <c r="A195" s="3" t="s">
        <v>30</v>
      </c>
      <c r="B195" s="271"/>
      <c r="C195" s="271"/>
      <c r="D195" s="271"/>
      <c r="E195" s="119">
        <f t="shared" si="4"/>
        <v>0</v>
      </c>
      <c r="F195" s="446"/>
      <c r="G195" s="446"/>
    </row>
    <row r="196" spans="1:7" x14ac:dyDescent="0.2">
      <c r="A196" s="3" t="s">
        <v>31</v>
      </c>
      <c r="B196" s="271"/>
      <c r="C196" s="271"/>
      <c r="D196" s="271"/>
      <c r="E196" s="119">
        <f t="shared" si="4"/>
        <v>0</v>
      </c>
      <c r="F196" s="446"/>
      <c r="G196" s="446"/>
    </row>
    <row r="197" spans="1:7" x14ac:dyDescent="0.2">
      <c r="A197" s="430" t="s">
        <v>189</v>
      </c>
      <c r="B197" s="431"/>
      <c r="C197" s="431"/>
      <c r="D197" s="432"/>
      <c r="E197" s="120">
        <f>SUM(E189:E196)</f>
        <v>0</v>
      </c>
      <c r="F197" s="447"/>
      <c r="G197" s="447"/>
    </row>
    <row r="198" spans="1:7" ht="9" customHeight="1" x14ac:dyDescent="0.2">
      <c r="A198" s="110"/>
      <c r="B198" s="110"/>
      <c r="C198" s="110"/>
      <c r="D198" s="110"/>
      <c r="E198" s="110"/>
      <c r="F198" s="110"/>
      <c r="G198" s="110"/>
    </row>
    <row r="199" spans="1:7" ht="9" customHeight="1" x14ac:dyDescent="0.2">
      <c r="A199" s="5"/>
      <c r="B199" s="110"/>
      <c r="C199" s="110"/>
      <c r="D199" s="110"/>
      <c r="E199" s="110"/>
      <c r="F199" s="110"/>
      <c r="G199" s="110"/>
    </row>
    <row r="200" spans="1:7" ht="18" x14ac:dyDescent="0.25">
      <c r="A200" s="444" t="s">
        <v>264</v>
      </c>
      <c r="B200" s="444"/>
      <c r="C200" s="444"/>
      <c r="D200" s="444"/>
      <c r="E200" s="444"/>
      <c r="F200" s="444"/>
      <c r="G200" s="444"/>
    </row>
    <row r="201" spans="1:7" ht="27.75" customHeight="1" x14ac:dyDescent="0.2">
      <c r="A201" s="117" t="s">
        <v>7</v>
      </c>
      <c r="B201" s="137" t="s">
        <v>193</v>
      </c>
      <c r="C201" s="137" t="s">
        <v>202</v>
      </c>
      <c r="D201" s="137" t="s">
        <v>190</v>
      </c>
      <c r="E201" s="137" t="s">
        <v>8</v>
      </c>
      <c r="F201" s="445" t="s">
        <v>191</v>
      </c>
      <c r="G201" s="445"/>
    </row>
    <row r="202" spans="1:7" x14ac:dyDescent="0.2">
      <c r="A202" s="3" t="s">
        <v>227</v>
      </c>
      <c r="B202" s="271"/>
      <c r="C202" s="271"/>
      <c r="D202" s="271"/>
      <c r="E202" s="119">
        <f>+C202*D202</f>
        <v>0</v>
      </c>
      <c r="F202" s="446" t="s">
        <v>226</v>
      </c>
      <c r="G202" s="446"/>
    </row>
    <row r="203" spans="1:7" x14ac:dyDescent="0.2">
      <c r="A203" s="3" t="s">
        <v>33</v>
      </c>
      <c r="B203" s="271"/>
      <c r="C203" s="271"/>
      <c r="D203" s="271"/>
      <c r="E203" s="119">
        <f>+C203*D203</f>
        <v>0</v>
      </c>
      <c r="F203" s="446"/>
      <c r="G203" s="446"/>
    </row>
    <row r="204" spans="1:7" x14ac:dyDescent="0.2">
      <c r="A204" s="3" t="s">
        <v>34</v>
      </c>
      <c r="B204" s="271"/>
      <c r="C204" s="271"/>
      <c r="D204" s="271"/>
      <c r="E204" s="119">
        <f>+C204*D204</f>
        <v>0</v>
      </c>
      <c r="F204" s="446"/>
      <c r="G204" s="446"/>
    </row>
    <row r="205" spans="1:7" x14ac:dyDescent="0.2">
      <c r="A205" s="430" t="s">
        <v>189</v>
      </c>
      <c r="B205" s="431"/>
      <c r="C205" s="431"/>
      <c r="D205" s="432"/>
      <c r="E205" s="120">
        <f>SUM(E202:E204)</f>
        <v>0</v>
      </c>
      <c r="F205" s="448"/>
      <c r="G205" s="449"/>
    </row>
    <row r="206" spans="1:7" ht="9" customHeight="1" x14ac:dyDescent="0.2">
      <c r="A206" s="110"/>
      <c r="B206" s="110"/>
      <c r="C206" s="110"/>
      <c r="D206" s="110"/>
      <c r="E206" s="110"/>
      <c r="F206" s="110"/>
      <c r="G206" s="110"/>
    </row>
    <row r="207" spans="1:7" ht="9" customHeight="1" x14ac:dyDescent="0.2">
      <c r="A207" s="110"/>
      <c r="B207" s="110"/>
      <c r="C207" s="110"/>
      <c r="D207" s="110"/>
      <c r="E207" s="110"/>
      <c r="F207" s="110"/>
      <c r="G207" s="110"/>
    </row>
    <row r="208" spans="1:7" ht="18" x14ac:dyDescent="0.25">
      <c r="A208" s="444" t="s">
        <v>265</v>
      </c>
      <c r="B208" s="444"/>
      <c r="C208" s="444"/>
      <c r="D208" s="444"/>
      <c r="E208" s="444"/>
      <c r="F208" s="444"/>
      <c r="G208" s="444"/>
    </row>
    <row r="209" spans="1:7" ht="26.25" customHeight="1" x14ac:dyDescent="0.2">
      <c r="A209" s="117" t="s">
        <v>7</v>
      </c>
      <c r="B209" s="117" t="s">
        <v>193</v>
      </c>
      <c r="C209" s="117" t="s">
        <v>202</v>
      </c>
      <c r="D209" s="117" t="s">
        <v>190</v>
      </c>
      <c r="E209" s="117" t="s">
        <v>8</v>
      </c>
      <c r="F209" s="439" t="s">
        <v>191</v>
      </c>
      <c r="G209" s="439"/>
    </row>
    <row r="210" spans="1:7" x14ac:dyDescent="0.2">
      <c r="A210" s="3" t="s">
        <v>40</v>
      </c>
      <c r="B210" s="269"/>
      <c r="C210" s="273"/>
      <c r="D210" s="273"/>
      <c r="E210" s="119">
        <f>+C210*D210</f>
        <v>0</v>
      </c>
      <c r="F210" s="437"/>
      <c r="G210" s="437"/>
    </row>
    <row r="211" spans="1:7" x14ac:dyDescent="0.2">
      <c r="A211" s="3" t="s">
        <v>131</v>
      </c>
      <c r="B211" s="269"/>
      <c r="C211" s="270"/>
      <c r="D211" s="270"/>
      <c r="E211" s="119">
        <f t="shared" ref="E211:E228" si="5">+C211*D211</f>
        <v>0</v>
      </c>
      <c r="F211" s="437"/>
      <c r="G211" s="437"/>
    </row>
    <row r="212" spans="1:7" x14ac:dyDescent="0.2">
      <c r="A212" s="3" t="s">
        <v>49</v>
      </c>
      <c r="B212" s="269"/>
      <c r="C212" s="270"/>
      <c r="D212" s="270"/>
      <c r="E212" s="119">
        <f t="shared" si="5"/>
        <v>0</v>
      </c>
      <c r="F212" s="437"/>
      <c r="G212" s="437"/>
    </row>
    <row r="213" spans="1:7" x14ac:dyDescent="0.2">
      <c r="A213" s="3" t="s">
        <v>132</v>
      </c>
      <c r="B213" s="269"/>
      <c r="C213" s="270"/>
      <c r="D213" s="270"/>
      <c r="E213" s="119">
        <f t="shared" si="5"/>
        <v>0</v>
      </c>
      <c r="F213" s="437"/>
      <c r="G213" s="437"/>
    </row>
    <row r="214" spans="1:7" x14ac:dyDescent="0.2">
      <c r="A214" s="3" t="s">
        <v>133</v>
      </c>
      <c r="B214" s="269"/>
      <c r="C214" s="270"/>
      <c r="D214" s="270"/>
      <c r="E214" s="119">
        <f t="shared" si="5"/>
        <v>0</v>
      </c>
      <c r="F214" s="437"/>
      <c r="G214" s="437"/>
    </row>
    <row r="215" spans="1:7" x14ac:dyDescent="0.2">
      <c r="A215" s="3" t="s">
        <v>134</v>
      </c>
      <c r="B215" s="269"/>
      <c r="C215" s="270"/>
      <c r="D215" s="270"/>
      <c r="E215" s="119">
        <f t="shared" si="5"/>
        <v>0</v>
      </c>
      <c r="F215" s="437"/>
      <c r="G215" s="437"/>
    </row>
    <row r="216" spans="1:7" x14ac:dyDescent="0.2">
      <c r="A216" s="3" t="s">
        <v>37</v>
      </c>
      <c r="B216" s="269"/>
      <c r="C216" s="270"/>
      <c r="D216" s="270"/>
      <c r="E216" s="119">
        <f t="shared" si="5"/>
        <v>0</v>
      </c>
      <c r="F216" s="437"/>
      <c r="G216" s="437"/>
    </row>
    <row r="217" spans="1:7" x14ac:dyDescent="0.2">
      <c r="A217" s="3" t="s">
        <v>38</v>
      </c>
      <c r="B217" s="269"/>
      <c r="C217" s="270"/>
      <c r="D217" s="270"/>
      <c r="E217" s="119">
        <f t="shared" si="5"/>
        <v>0</v>
      </c>
      <c r="F217" s="437"/>
      <c r="G217" s="437"/>
    </row>
    <row r="218" spans="1:7" x14ac:dyDescent="0.2">
      <c r="A218" s="3" t="s">
        <v>39</v>
      </c>
      <c r="B218" s="269"/>
      <c r="C218" s="270"/>
      <c r="D218" s="270"/>
      <c r="E218" s="119">
        <f t="shared" si="5"/>
        <v>0</v>
      </c>
      <c r="F218" s="437"/>
      <c r="G218" s="437"/>
    </row>
    <row r="219" spans="1:7" x14ac:dyDescent="0.2">
      <c r="A219" s="3" t="s">
        <v>41</v>
      </c>
      <c r="B219" s="269"/>
      <c r="C219" s="270"/>
      <c r="D219" s="270"/>
      <c r="E219" s="119">
        <f t="shared" si="5"/>
        <v>0</v>
      </c>
      <c r="F219" s="437"/>
      <c r="G219" s="437"/>
    </row>
    <row r="220" spans="1:7" x14ac:dyDescent="0.2">
      <c r="A220" s="3" t="s">
        <v>42</v>
      </c>
      <c r="B220" s="269"/>
      <c r="C220" s="270"/>
      <c r="D220" s="270"/>
      <c r="E220" s="119">
        <f t="shared" si="5"/>
        <v>0</v>
      </c>
      <c r="F220" s="437"/>
      <c r="G220" s="437"/>
    </row>
    <row r="221" spans="1:7" x14ac:dyDescent="0.2">
      <c r="A221" s="3" t="s">
        <v>43</v>
      </c>
      <c r="B221" s="269"/>
      <c r="C221" s="270"/>
      <c r="D221" s="270"/>
      <c r="E221" s="119">
        <f t="shared" si="5"/>
        <v>0</v>
      </c>
      <c r="F221" s="437"/>
      <c r="G221" s="437"/>
    </row>
    <row r="222" spans="1:7" x14ac:dyDescent="0.2">
      <c r="A222" s="3" t="s">
        <v>44</v>
      </c>
      <c r="B222" s="269"/>
      <c r="C222" s="25">
        <f>SUM(INGRESOS!B54:C54)</f>
        <v>0</v>
      </c>
      <c r="D222" s="270">
        <v>8500</v>
      </c>
      <c r="E222" s="119">
        <f t="shared" si="5"/>
        <v>0</v>
      </c>
      <c r="F222" s="437" t="s">
        <v>363</v>
      </c>
      <c r="G222" s="437"/>
    </row>
    <row r="223" spans="1:7" x14ac:dyDescent="0.2">
      <c r="A223" s="3" t="s">
        <v>45</v>
      </c>
      <c r="B223" s="269"/>
      <c r="C223" s="270"/>
      <c r="D223" s="270"/>
      <c r="E223" s="119">
        <f t="shared" si="5"/>
        <v>0</v>
      </c>
      <c r="F223" s="437"/>
      <c r="G223" s="437"/>
    </row>
    <row r="224" spans="1:7" x14ac:dyDescent="0.2">
      <c r="A224" s="3" t="s">
        <v>46</v>
      </c>
      <c r="B224" s="269"/>
      <c r="C224" s="270"/>
      <c r="D224" s="270"/>
      <c r="E224" s="119">
        <f t="shared" si="5"/>
        <v>0</v>
      </c>
      <c r="F224" s="437"/>
      <c r="G224" s="437"/>
    </row>
    <row r="225" spans="1:7" x14ac:dyDescent="0.2">
      <c r="A225" s="3" t="s">
        <v>47</v>
      </c>
      <c r="B225" s="269"/>
      <c r="C225" s="25">
        <f>SUM(INGRESOS!B47:C47)</f>
        <v>0</v>
      </c>
      <c r="D225" s="270">
        <v>0</v>
      </c>
      <c r="E225" s="119">
        <f t="shared" si="5"/>
        <v>0</v>
      </c>
      <c r="F225" s="437" t="s">
        <v>325</v>
      </c>
      <c r="G225" s="437"/>
    </row>
    <row r="226" spans="1:7" x14ac:dyDescent="0.2">
      <c r="A226" s="3" t="s">
        <v>35</v>
      </c>
      <c r="B226" s="269"/>
      <c r="C226" s="270"/>
      <c r="D226" s="270"/>
      <c r="E226" s="119">
        <f t="shared" si="5"/>
        <v>0</v>
      </c>
      <c r="F226" s="437"/>
      <c r="G226" s="437"/>
    </row>
    <row r="227" spans="1:7" x14ac:dyDescent="0.2">
      <c r="A227" s="3" t="s">
        <v>48</v>
      </c>
      <c r="B227" s="269"/>
      <c r="C227" s="270"/>
      <c r="D227" s="270"/>
      <c r="E227" s="119">
        <f t="shared" si="5"/>
        <v>0</v>
      </c>
      <c r="F227" s="437"/>
      <c r="G227" s="437"/>
    </row>
    <row r="228" spans="1:7" x14ac:dyDescent="0.2">
      <c r="A228" s="3" t="s">
        <v>50</v>
      </c>
      <c r="B228" s="269"/>
      <c r="C228" s="270"/>
      <c r="D228" s="270"/>
      <c r="E228" s="119">
        <f t="shared" si="5"/>
        <v>0</v>
      </c>
      <c r="F228" s="437"/>
      <c r="G228" s="437"/>
    </row>
    <row r="229" spans="1:7" x14ac:dyDescent="0.2">
      <c r="A229" s="419" t="s">
        <v>189</v>
      </c>
      <c r="B229" s="420"/>
      <c r="C229" s="420"/>
      <c r="D229" s="421"/>
      <c r="E229" s="138">
        <f>SUM(E210:E228)</f>
        <v>0</v>
      </c>
      <c r="F229" s="422"/>
      <c r="G229" s="423"/>
    </row>
    <row r="230" spans="1:7" ht="9" customHeight="1" x14ac:dyDescent="0.2">
      <c r="A230" s="5"/>
      <c r="B230" s="110"/>
      <c r="C230" s="110"/>
      <c r="D230" s="110"/>
      <c r="E230" s="110"/>
      <c r="F230" s="110"/>
      <c r="G230" s="110"/>
    </row>
  </sheetData>
  <sheetProtection insertRows="0" deleteRows="0"/>
  <mergeCells count="155">
    <mergeCell ref="J6:K8"/>
    <mergeCell ref="E9:E10"/>
    <mergeCell ref="G9:G10"/>
    <mergeCell ref="F45:G45"/>
    <mergeCell ref="A6:G6"/>
    <mergeCell ref="A8:G8"/>
    <mergeCell ref="A9:A10"/>
    <mergeCell ref="B9:B10"/>
    <mergeCell ref="C9:C10"/>
    <mergeCell ref="D9:D10"/>
    <mergeCell ref="D25:D26"/>
    <mergeCell ref="E25:G26"/>
    <mergeCell ref="E27:G27"/>
    <mergeCell ref="E28:G28"/>
    <mergeCell ref="A13:D13"/>
    <mergeCell ref="F36:G36"/>
    <mergeCell ref="F37:G37"/>
    <mergeCell ref="F38:G38"/>
    <mergeCell ref="A53:G53"/>
    <mergeCell ref="F54:G54"/>
    <mergeCell ref="F55:G55"/>
    <mergeCell ref="A16:G16"/>
    <mergeCell ref="A17:A18"/>
    <mergeCell ref="B17:B18"/>
    <mergeCell ref="C17:C18"/>
    <mergeCell ref="D17:D18"/>
    <mergeCell ref="E17:G18"/>
    <mergeCell ref="F33:G33"/>
    <mergeCell ref="F34:G34"/>
    <mergeCell ref="A32:G32"/>
    <mergeCell ref="A24:G24"/>
    <mergeCell ref="A25:A26"/>
    <mergeCell ref="B25:B26"/>
    <mergeCell ref="C25:C26"/>
    <mergeCell ref="E21:G21"/>
    <mergeCell ref="A21:C21"/>
    <mergeCell ref="A29:C29"/>
    <mergeCell ref="E29:G29"/>
    <mergeCell ref="A41:B41"/>
    <mergeCell ref="F39:G39"/>
    <mergeCell ref="F40:G40"/>
    <mergeCell ref="F59:G59"/>
    <mergeCell ref="A143:G143"/>
    <mergeCell ref="F144:G144"/>
    <mergeCell ref="F35:G35"/>
    <mergeCell ref="F41:G41"/>
    <mergeCell ref="A44:G44"/>
    <mergeCell ref="E19:G19"/>
    <mergeCell ref="E20:G20"/>
    <mergeCell ref="A127:G127"/>
    <mergeCell ref="A120:G120"/>
    <mergeCell ref="G122:G123"/>
    <mergeCell ref="F46:G46"/>
    <mergeCell ref="F47:G47"/>
    <mergeCell ref="F48:G48"/>
    <mergeCell ref="F49:G49"/>
    <mergeCell ref="F56:G56"/>
    <mergeCell ref="F57:G57"/>
    <mergeCell ref="F58:G58"/>
    <mergeCell ref="A62:G62"/>
    <mergeCell ref="A88:G88"/>
    <mergeCell ref="A104:G104"/>
    <mergeCell ref="A80:G80"/>
    <mergeCell ref="A96:G96"/>
    <mergeCell ref="F50:G50"/>
    <mergeCell ref="E155:G155"/>
    <mergeCell ref="E156:G156"/>
    <mergeCell ref="A152:G152"/>
    <mergeCell ref="E153:G153"/>
    <mergeCell ref="F149:G149"/>
    <mergeCell ref="E157:G157"/>
    <mergeCell ref="E158:G158"/>
    <mergeCell ref="A134:G134"/>
    <mergeCell ref="F146:G146"/>
    <mergeCell ref="F188:G188"/>
    <mergeCell ref="F189:G196"/>
    <mergeCell ref="A200:G200"/>
    <mergeCell ref="F201:G201"/>
    <mergeCell ref="F202:G204"/>
    <mergeCell ref="F197:G197"/>
    <mergeCell ref="F205:G205"/>
    <mergeCell ref="A112:G112"/>
    <mergeCell ref="G114:G116"/>
    <mergeCell ref="F145:G145"/>
    <mergeCell ref="F147:G147"/>
    <mergeCell ref="F148:G148"/>
    <mergeCell ref="F176:G176"/>
    <mergeCell ref="A179:G179"/>
    <mergeCell ref="B180:C180"/>
    <mergeCell ref="A187:G187"/>
    <mergeCell ref="B182:C182"/>
    <mergeCell ref="B183:C183"/>
    <mergeCell ref="F171:G171"/>
    <mergeCell ref="F172:G172"/>
    <mergeCell ref="F173:G173"/>
    <mergeCell ref="F174:G174"/>
    <mergeCell ref="F175:G175"/>
    <mergeCell ref="E154:G154"/>
    <mergeCell ref="B181:C181"/>
    <mergeCell ref="F227:G227"/>
    <mergeCell ref="A70:G70"/>
    <mergeCell ref="F209:G209"/>
    <mergeCell ref="F223:G223"/>
    <mergeCell ref="F211:G211"/>
    <mergeCell ref="F221:G221"/>
    <mergeCell ref="F224:G224"/>
    <mergeCell ref="F225:G225"/>
    <mergeCell ref="F226:G226"/>
    <mergeCell ref="F213:G213"/>
    <mergeCell ref="F214:G214"/>
    <mergeCell ref="F210:G210"/>
    <mergeCell ref="F169:G169"/>
    <mergeCell ref="F170:G170"/>
    <mergeCell ref="E159:G159"/>
    <mergeCell ref="E162:G162"/>
    <mergeCell ref="E164:G164"/>
    <mergeCell ref="E163:G163"/>
    <mergeCell ref="A167:G167"/>
    <mergeCell ref="F168:G168"/>
    <mergeCell ref="E160:G160"/>
    <mergeCell ref="E161:G161"/>
    <mergeCell ref="A208:G208"/>
    <mergeCell ref="F228:G228"/>
    <mergeCell ref="F218:G218"/>
    <mergeCell ref="F219:G219"/>
    <mergeCell ref="F220:G220"/>
    <mergeCell ref="F215:G215"/>
    <mergeCell ref="F216:G216"/>
    <mergeCell ref="F217:G217"/>
    <mergeCell ref="F222:G222"/>
    <mergeCell ref="F212:G212"/>
    <mergeCell ref="A229:D229"/>
    <mergeCell ref="F229:G229"/>
    <mergeCell ref="A2:A4"/>
    <mergeCell ref="B2:B4"/>
    <mergeCell ref="C2:F3"/>
    <mergeCell ref="C4:F4"/>
    <mergeCell ref="A124:E124"/>
    <mergeCell ref="A131:E131"/>
    <mergeCell ref="A140:E140"/>
    <mergeCell ref="A149:D149"/>
    <mergeCell ref="A164:C164"/>
    <mergeCell ref="A176:D176"/>
    <mergeCell ref="A184:E184"/>
    <mergeCell ref="A197:D197"/>
    <mergeCell ref="A205:D205"/>
    <mergeCell ref="A50:D50"/>
    <mergeCell ref="A59:D59"/>
    <mergeCell ref="A67:E67"/>
    <mergeCell ref="A77:E77"/>
    <mergeCell ref="A85:E85"/>
    <mergeCell ref="A93:E93"/>
    <mergeCell ref="A101:E101"/>
    <mergeCell ref="A109:E109"/>
    <mergeCell ref="A117:E117"/>
  </mergeCells>
  <phoneticPr fontId="14" type="noConversion"/>
  <printOptions horizontalCentered="1"/>
  <pageMargins left="0.11811023622047245" right="0.11811023622047245" top="0.15748031496062992" bottom="0.15748031496062992" header="0.31496062992125984" footer="0.31496062992125984"/>
  <pageSetup scale="8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T58"/>
  <sheetViews>
    <sheetView showGridLines="0" zoomScale="80" zoomScaleNormal="80" workbookViewId="0">
      <pane xSplit="2" topLeftCell="C1" activePane="topRight" state="frozen"/>
      <selection pane="topRight" activeCell="AP4" sqref="AP4:AT4"/>
    </sheetView>
  </sheetViews>
  <sheetFormatPr baseColWidth="10" defaultColWidth="11.42578125" defaultRowHeight="14.25" x14ac:dyDescent="0.2"/>
  <cols>
    <col min="1" max="1" width="2.85546875" style="111" customWidth="1"/>
    <col min="2" max="2" width="15.140625" style="111" customWidth="1"/>
    <col min="3" max="29" width="10" style="111" customWidth="1"/>
    <col min="30" max="30" width="11" style="111" customWidth="1"/>
    <col min="31" max="31" width="3.42578125" style="111" customWidth="1"/>
    <col min="32" max="32" width="5.5703125" style="111" customWidth="1"/>
    <col min="33" max="34" width="5.42578125" style="111" customWidth="1"/>
    <col min="35" max="35" width="5.140625" style="111" customWidth="1"/>
    <col min="36" max="36" width="8.28515625" style="111" customWidth="1"/>
    <col min="37" max="37" width="6.42578125" style="111" customWidth="1"/>
    <col min="38" max="38" width="8.28515625" style="111" customWidth="1"/>
    <col min="39" max="39" width="4.5703125" style="111" customWidth="1"/>
    <col min="40" max="40" width="6.5703125" style="111" customWidth="1"/>
    <col min="41" max="42" width="7.42578125" style="111" customWidth="1"/>
    <col min="43" max="43" width="5" style="111" customWidth="1"/>
    <col min="44" max="44" width="8.28515625" style="111" customWidth="1"/>
    <col min="45" max="45" width="7.140625" style="111" customWidth="1"/>
    <col min="46" max="46" width="8.42578125" style="111" customWidth="1"/>
    <col min="47" max="16384" width="11.42578125" style="111"/>
  </cols>
  <sheetData>
    <row r="1" spans="2:46" customFormat="1" ht="15" x14ac:dyDescent="0.25"/>
    <row r="2" spans="2:46" ht="41.25" customHeight="1" x14ac:dyDescent="0.2">
      <c r="B2" s="466" t="e" vm="1">
        <v>#VALUE!</v>
      </c>
      <c r="C2" s="467"/>
      <c r="D2" s="467"/>
      <c r="E2" s="467"/>
      <c r="F2" s="467"/>
      <c r="G2" s="467"/>
      <c r="H2" s="468"/>
      <c r="I2" s="466" t="e" vm="2">
        <v>#VALUE!</v>
      </c>
      <c r="J2" s="467"/>
      <c r="K2" s="467"/>
      <c r="L2" s="467"/>
      <c r="M2" s="467"/>
      <c r="N2" s="467"/>
      <c r="O2" s="468"/>
      <c r="P2" s="475" t="s">
        <v>460</v>
      </c>
      <c r="Q2" s="476"/>
      <c r="R2" s="476"/>
      <c r="S2" s="476"/>
      <c r="T2" s="476"/>
      <c r="U2" s="476"/>
      <c r="V2" s="476"/>
      <c r="W2" s="476"/>
      <c r="X2" s="476"/>
      <c r="Y2" s="476"/>
      <c r="Z2" s="476"/>
      <c r="AA2" s="476"/>
      <c r="AB2" s="476"/>
      <c r="AC2" s="476"/>
      <c r="AD2" s="476"/>
      <c r="AE2" s="476"/>
      <c r="AF2" s="476"/>
      <c r="AG2" s="476"/>
      <c r="AH2" s="476"/>
      <c r="AI2" s="476"/>
      <c r="AJ2" s="476"/>
      <c r="AK2" s="476"/>
      <c r="AL2" s="476"/>
      <c r="AM2" s="476"/>
      <c r="AN2" s="476"/>
      <c r="AO2" s="477"/>
      <c r="AP2" s="463" t="s">
        <v>457</v>
      </c>
      <c r="AQ2" s="464"/>
      <c r="AR2" s="464"/>
      <c r="AS2" s="464"/>
      <c r="AT2" s="465"/>
    </row>
    <row r="3" spans="2:46" ht="41.25" customHeight="1" x14ac:dyDescent="0.2">
      <c r="B3" s="469"/>
      <c r="C3" s="470"/>
      <c r="D3" s="470"/>
      <c r="E3" s="470"/>
      <c r="F3" s="470"/>
      <c r="G3" s="470"/>
      <c r="H3" s="471"/>
      <c r="I3" s="469"/>
      <c r="J3" s="470"/>
      <c r="K3" s="470"/>
      <c r="L3" s="470"/>
      <c r="M3" s="470"/>
      <c r="N3" s="470"/>
      <c r="O3" s="471"/>
      <c r="P3" s="478"/>
      <c r="Q3" s="479"/>
      <c r="R3" s="479"/>
      <c r="S3" s="479"/>
      <c r="T3" s="479"/>
      <c r="U3" s="479"/>
      <c r="V3" s="479"/>
      <c r="W3" s="479"/>
      <c r="X3" s="479"/>
      <c r="Y3" s="479"/>
      <c r="Z3" s="479"/>
      <c r="AA3" s="479"/>
      <c r="AB3" s="479"/>
      <c r="AC3" s="479"/>
      <c r="AD3" s="479"/>
      <c r="AE3" s="479"/>
      <c r="AF3" s="479"/>
      <c r="AG3" s="479"/>
      <c r="AH3" s="479"/>
      <c r="AI3" s="479"/>
      <c r="AJ3" s="479"/>
      <c r="AK3" s="479"/>
      <c r="AL3" s="479"/>
      <c r="AM3" s="479"/>
      <c r="AN3" s="479"/>
      <c r="AO3" s="480"/>
      <c r="AP3" s="463" t="s">
        <v>483</v>
      </c>
      <c r="AQ3" s="464"/>
      <c r="AR3" s="464"/>
      <c r="AS3" s="464"/>
      <c r="AT3" s="465"/>
    </row>
    <row r="4" spans="2:46" ht="41.25" customHeight="1" x14ac:dyDescent="0.2">
      <c r="B4" s="472"/>
      <c r="C4" s="473"/>
      <c r="D4" s="473"/>
      <c r="E4" s="473"/>
      <c r="F4" s="473"/>
      <c r="G4" s="473"/>
      <c r="H4" s="474"/>
      <c r="I4" s="472"/>
      <c r="J4" s="473"/>
      <c r="K4" s="473"/>
      <c r="L4" s="473"/>
      <c r="M4" s="473"/>
      <c r="N4" s="473"/>
      <c r="O4" s="474"/>
      <c r="P4" s="481" t="s">
        <v>461</v>
      </c>
      <c r="Q4" s="482"/>
      <c r="R4" s="482"/>
      <c r="S4" s="482"/>
      <c r="T4" s="482"/>
      <c r="U4" s="482"/>
      <c r="V4" s="482"/>
      <c r="W4" s="482"/>
      <c r="X4" s="482"/>
      <c r="Y4" s="482"/>
      <c r="Z4" s="482"/>
      <c r="AA4" s="482"/>
      <c r="AB4" s="482"/>
      <c r="AC4" s="482"/>
      <c r="AD4" s="482"/>
      <c r="AE4" s="482"/>
      <c r="AF4" s="482"/>
      <c r="AG4" s="482"/>
      <c r="AH4" s="482"/>
      <c r="AI4" s="482"/>
      <c r="AJ4" s="482"/>
      <c r="AK4" s="482"/>
      <c r="AL4" s="482"/>
      <c r="AM4" s="482"/>
      <c r="AN4" s="482"/>
      <c r="AO4" s="483"/>
      <c r="AP4" s="463" t="s">
        <v>480</v>
      </c>
      <c r="AQ4" s="464"/>
      <c r="AR4" s="464"/>
      <c r="AS4" s="464"/>
      <c r="AT4" s="465"/>
    </row>
    <row r="7" spans="2:46" ht="9" customHeight="1" thickBot="1" x14ac:dyDescent="0.25">
      <c r="P7" s="154"/>
      <c r="Q7" s="154"/>
      <c r="R7" s="154"/>
      <c r="U7" s="154"/>
      <c r="V7" s="154"/>
      <c r="Y7" s="154"/>
      <c r="Z7" s="154"/>
      <c r="AC7" s="154"/>
      <c r="AD7" s="154"/>
    </row>
    <row r="8" spans="2:46" s="155" customFormat="1" ht="16.5" customHeight="1" thickBot="1" x14ac:dyDescent="0.3">
      <c r="B8" s="504" t="s">
        <v>367</v>
      </c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6"/>
      <c r="P8" s="344" t="s">
        <v>445</v>
      </c>
      <c r="Q8" s="344"/>
      <c r="R8" s="344"/>
      <c r="S8" s="111"/>
      <c r="T8" s="111"/>
      <c r="U8" s="154"/>
      <c r="V8" s="154"/>
      <c r="W8" s="111"/>
      <c r="X8" s="111"/>
      <c r="Y8" s="154"/>
      <c r="Z8" s="154"/>
      <c r="AA8" s="111"/>
      <c r="AB8" s="111"/>
      <c r="AC8" s="154"/>
      <c r="AD8" s="154"/>
    </row>
    <row r="9" spans="2:46" s="155" customFormat="1" ht="15" x14ac:dyDescent="0.25">
      <c r="B9" s="502" t="s">
        <v>283</v>
      </c>
      <c r="C9" s="486">
        <f>INGRESOS!B$12</f>
        <v>2027</v>
      </c>
      <c r="D9" s="487"/>
      <c r="E9" s="486">
        <f>INGRESOS!D$12</f>
        <v>2028</v>
      </c>
      <c r="F9" s="487"/>
      <c r="G9" s="486">
        <f>INGRESOS!F$12</f>
        <v>2029</v>
      </c>
      <c r="H9" s="487"/>
      <c r="I9" s="486">
        <f>INGRESOS!H$12</f>
        <v>2030</v>
      </c>
      <c r="J9" s="487"/>
      <c r="K9" s="486">
        <f>INGRESOS!J$12</f>
        <v>2031</v>
      </c>
      <c r="L9" s="487"/>
      <c r="M9" s="486">
        <f>INGRESOS!L$12</f>
        <v>2032</v>
      </c>
      <c r="N9" s="487"/>
      <c r="P9" s="344"/>
      <c r="Q9" s="344"/>
      <c r="R9" s="344"/>
      <c r="S9" s="111"/>
      <c r="T9" s="111"/>
      <c r="U9" s="154"/>
      <c r="V9" s="154"/>
      <c r="W9" s="111"/>
      <c r="X9" s="111"/>
      <c r="Y9" s="154"/>
      <c r="Z9" s="154"/>
      <c r="AA9" s="111"/>
      <c r="AB9" s="111"/>
      <c r="AC9" s="154"/>
      <c r="AD9" s="154"/>
    </row>
    <row r="10" spans="2:46" s="159" customFormat="1" ht="30.75" customHeight="1" thickBot="1" x14ac:dyDescent="0.3">
      <c r="B10" s="503"/>
      <c r="C10" s="156" t="str">
        <f>INGRESOS!B$13</f>
        <v>PERIODO A</v>
      </c>
      <c r="D10" s="157" t="str">
        <f>INGRESOS!C$13</f>
        <v>PERIODO B</v>
      </c>
      <c r="E10" s="156" t="str">
        <f>INGRESOS!D$13</f>
        <v>PERIODO A</v>
      </c>
      <c r="F10" s="157" t="str">
        <f>INGRESOS!E$13</f>
        <v>PERIODO B</v>
      </c>
      <c r="G10" s="156" t="str">
        <f>INGRESOS!F$13</f>
        <v>PERIODO A</v>
      </c>
      <c r="H10" s="157" t="str">
        <f>INGRESOS!G$13</f>
        <v>PERIODO B</v>
      </c>
      <c r="I10" s="156" t="str">
        <f>INGRESOS!H$13</f>
        <v>PERIODO A</v>
      </c>
      <c r="J10" s="157" t="str">
        <f>INGRESOS!I$13</f>
        <v>PERIODO B</v>
      </c>
      <c r="K10" s="156" t="str">
        <f>INGRESOS!J$13</f>
        <v>PERIODO A</v>
      </c>
      <c r="L10" s="158" t="str">
        <f>INGRESOS!K$13</f>
        <v>PERIODO B</v>
      </c>
      <c r="M10" s="156" t="str">
        <f>INGRESOS!L$13</f>
        <v>PERIODO A</v>
      </c>
      <c r="N10" s="158" t="str">
        <f>INGRESOS!M$13</f>
        <v>PERIODO B</v>
      </c>
      <c r="P10" s="344"/>
      <c r="Q10" s="344"/>
      <c r="R10" s="344"/>
      <c r="S10" s="160"/>
      <c r="T10" s="160"/>
      <c r="U10" s="161"/>
      <c r="V10" s="161"/>
      <c r="W10" s="160"/>
      <c r="X10" s="160"/>
      <c r="Y10" s="161"/>
      <c r="Z10" s="161"/>
      <c r="AA10" s="160"/>
      <c r="AB10" s="160"/>
      <c r="AC10" s="161"/>
      <c r="AD10" s="161"/>
    </row>
    <row r="11" spans="2:46" ht="15" x14ac:dyDescent="0.25">
      <c r="B11" s="162" t="str">
        <f>+INGRESOS!A35</f>
        <v>Primero</v>
      </c>
      <c r="C11" s="163">
        <f>+INGRESOS!B35</f>
        <v>0</v>
      </c>
      <c r="D11" s="164"/>
      <c r="E11" s="163"/>
      <c r="F11" s="164"/>
      <c r="G11" s="163"/>
      <c r="H11" s="164"/>
      <c r="I11" s="163"/>
      <c r="J11" s="164"/>
      <c r="K11" s="165"/>
      <c r="L11" s="164"/>
      <c r="M11" s="165"/>
      <c r="N11" s="164"/>
      <c r="U11" s="154"/>
      <c r="V11" s="154"/>
      <c r="Y11" s="154"/>
      <c r="Z11" s="154"/>
      <c r="AC11" s="154"/>
      <c r="AD11" s="154"/>
    </row>
    <row r="12" spans="2:46" ht="15.75" thickBot="1" x14ac:dyDescent="0.3">
      <c r="B12" s="166" t="str">
        <f>+INGRESOS!A36</f>
        <v>Segundo</v>
      </c>
      <c r="C12" s="167"/>
      <c r="D12" s="168">
        <f>+INGRESOS!C36</f>
        <v>0</v>
      </c>
      <c r="E12" s="167"/>
      <c r="F12" s="168"/>
      <c r="G12" s="167"/>
      <c r="H12" s="168"/>
      <c r="I12" s="167"/>
      <c r="J12" s="168"/>
      <c r="K12" s="169"/>
      <c r="L12" s="168"/>
      <c r="M12" s="169"/>
      <c r="N12" s="168"/>
      <c r="U12" s="154"/>
      <c r="V12" s="154"/>
      <c r="Y12" s="154"/>
      <c r="Z12" s="154"/>
      <c r="AC12" s="154"/>
      <c r="AD12" s="154"/>
    </row>
    <row r="13" spans="2:46" ht="15" x14ac:dyDescent="0.25">
      <c r="B13" s="162" t="str">
        <f>+INGRESOS!A37</f>
        <v>Tercero</v>
      </c>
      <c r="C13" s="163"/>
      <c r="D13" s="164"/>
      <c r="E13" s="163">
        <f>+INGRESOS!D37</f>
        <v>0</v>
      </c>
      <c r="F13" s="164"/>
      <c r="G13" s="163"/>
      <c r="H13" s="164"/>
      <c r="I13" s="163"/>
      <c r="J13" s="164"/>
      <c r="K13" s="165"/>
      <c r="L13" s="164"/>
      <c r="M13" s="165"/>
      <c r="N13" s="164"/>
      <c r="U13" s="154"/>
      <c r="V13" s="154"/>
      <c r="Y13" s="154"/>
      <c r="Z13" s="154"/>
      <c r="AC13" s="154"/>
      <c r="AD13" s="154"/>
    </row>
    <row r="14" spans="2:46" ht="15.75" thickBot="1" x14ac:dyDescent="0.3">
      <c r="B14" s="166" t="str">
        <f>+INGRESOS!A38</f>
        <v>Cuarto</v>
      </c>
      <c r="C14" s="167"/>
      <c r="D14" s="168"/>
      <c r="E14" s="167"/>
      <c r="F14" s="168">
        <f>+INGRESOS!E38</f>
        <v>0</v>
      </c>
      <c r="G14" s="167"/>
      <c r="H14" s="168"/>
      <c r="I14" s="167"/>
      <c r="J14" s="168"/>
      <c r="K14" s="169"/>
      <c r="L14" s="168"/>
      <c r="M14" s="169"/>
      <c r="N14" s="168"/>
      <c r="U14" s="154"/>
      <c r="V14" s="154"/>
      <c r="Y14" s="154"/>
      <c r="Z14" s="154"/>
      <c r="AC14" s="154"/>
      <c r="AD14" s="154"/>
    </row>
    <row r="15" spans="2:46" ht="15" x14ac:dyDescent="0.25">
      <c r="B15" s="162" t="str">
        <f>+INGRESOS!A39</f>
        <v>Quinto</v>
      </c>
      <c r="C15" s="163"/>
      <c r="D15" s="164"/>
      <c r="E15" s="163"/>
      <c r="F15" s="164"/>
      <c r="G15" s="163">
        <f>+INGRESOS!F39</f>
        <v>0</v>
      </c>
      <c r="H15" s="164"/>
      <c r="I15" s="163"/>
      <c r="J15" s="164"/>
      <c r="K15" s="165"/>
      <c r="L15" s="164"/>
      <c r="M15" s="165"/>
      <c r="N15" s="164"/>
      <c r="P15" s="154"/>
      <c r="Q15" s="154"/>
      <c r="R15" s="154"/>
      <c r="U15" s="154"/>
      <c r="V15" s="154"/>
      <c r="Y15" s="154"/>
      <c r="Z15" s="154"/>
      <c r="AC15" s="154"/>
      <c r="AD15" s="154"/>
    </row>
    <row r="16" spans="2:46" ht="15.75" thickBot="1" x14ac:dyDescent="0.3">
      <c r="B16" s="166" t="str">
        <f>+INGRESOS!A40</f>
        <v>Sexto</v>
      </c>
      <c r="C16" s="167"/>
      <c r="D16" s="168"/>
      <c r="E16" s="167"/>
      <c r="F16" s="168"/>
      <c r="G16" s="167"/>
      <c r="H16" s="168">
        <f>+INGRESOS!G40</f>
        <v>0</v>
      </c>
      <c r="I16" s="167"/>
      <c r="J16" s="168"/>
      <c r="K16" s="169"/>
      <c r="L16" s="168"/>
      <c r="M16" s="169"/>
      <c r="N16" s="168"/>
      <c r="P16" s="154"/>
      <c r="Q16" s="154"/>
      <c r="R16" s="154"/>
      <c r="U16" s="154"/>
      <c r="V16" s="154"/>
      <c r="Y16" s="154"/>
      <c r="Z16" s="154"/>
      <c r="AC16" s="154"/>
      <c r="AD16" s="154"/>
    </row>
    <row r="17" spans="2:46" ht="15" x14ac:dyDescent="0.25">
      <c r="B17" s="162" t="str">
        <f>+INGRESOS!A41</f>
        <v>Septimo</v>
      </c>
      <c r="C17" s="163"/>
      <c r="D17" s="164"/>
      <c r="E17" s="163"/>
      <c r="F17" s="164"/>
      <c r="G17" s="163"/>
      <c r="H17" s="164"/>
      <c r="I17" s="163">
        <f>+INGRESOS!H41</f>
        <v>0</v>
      </c>
      <c r="J17" s="164"/>
      <c r="K17" s="165"/>
      <c r="L17" s="164"/>
      <c r="M17" s="165"/>
      <c r="N17" s="164"/>
      <c r="P17" s="154"/>
      <c r="Q17" s="154"/>
      <c r="R17" s="154"/>
      <c r="U17" s="154"/>
      <c r="V17" s="154"/>
      <c r="Y17" s="154"/>
      <c r="Z17" s="154"/>
      <c r="AC17" s="154"/>
      <c r="AD17" s="154"/>
    </row>
    <row r="18" spans="2:46" ht="15.75" thickBot="1" x14ac:dyDescent="0.3">
      <c r="B18" s="166" t="str">
        <f>+INGRESOS!A42</f>
        <v>Octavo</v>
      </c>
      <c r="C18" s="167"/>
      <c r="D18" s="168"/>
      <c r="E18" s="167"/>
      <c r="F18" s="168"/>
      <c r="G18" s="167"/>
      <c r="H18" s="168"/>
      <c r="I18" s="167"/>
      <c r="J18" s="168">
        <f>+INGRESOS!I42</f>
        <v>0</v>
      </c>
      <c r="K18" s="169"/>
      <c r="L18" s="168"/>
      <c r="M18" s="169"/>
      <c r="N18" s="168"/>
      <c r="P18" s="154"/>
      <c r="Q18" s="154"/>
      <c r="R18" s="154"/>
      <c r="U18" s="154"/>
      <c r="V18" s="154"/>
      <c r="Y18" s="154"/>
      <c r="Z18" s="154"/>
      <c r="AC18" s="154"/>
      <c r="AD18" s="154"/>
    </row>
    <row r="19" spans="2:46" ht="15" x14ac:dyDescent="0.25">
      <c r="B19" s="170" t="str">
        <f>+INGRESOS!A43</f>
        <v>Noveno</v>
      </c>
      <c r="C19" s="171"/>
      <c r="D19" s="172"/>
      <c r="E19" s="171"/>
      <c r="F19" s="172"/>
      <c r="G19" s="171"/>
      <c r="H19" s="172"/>
      <c r="I19" s="171"/>
      <c r="J19" s="172"/>
      <c r="K19" s="173">
        <f>+INGRESOS!J43</f>
        <v>0</v>
      </c>
      <c r="L19" s="172"/>
      <c r="M19" s="165"/>
      <c r="N19" s="164"/>
      <c r="P19" s="154"/>
      <c r="Q19" s="154"/>
      <c r="R19" s="154"/>
      <c r="U19" s="154"/>
      <c r="V19" s="154"/>
      <c r="Y19" s="154"/>
      <c r="Z19" s="154"/>
      <c r="AC19" s="154"/>
      <c r="AD19" s="154"/>
    </row>
    <row r="20" spans="2:46" ht="15.75" thickBot="1" x14ac:dyDescent="0.3">
      <c r="B20" s="166" t="str">
        <f>+INGRESOS!A44</f>
        <v>Decimo</v>
      </c>
      <c r="C20" s="167"/>
      <c r="D20" s="168"/>
      <c r="E20" s="167"/>
      <c r="F20" s="168"/>
      <c r="G20" s="167"/>
      <c r="H20" s="168"/>
      <c r="I20" s="167"/>
      <c r="J20" s="168"/>
      <c r="K20" s="169"/>
      <c r="L20" s="168">
        <f>+INGRESOS!K44</f>
        <v>0</v>
      </c>
      <c r="M20" s="169"/>
      <c r="N20" s="168"/>
      <c r="P20" s="154"/>
      <c r="Q20" s="154"/>
      <c r="R20" s="154"/>
      <c r="U20" s="154"/>
      <c r="V20" s="154"/>
      <c r="Y20" s="154"/>
      <c r="Z20" s="154"/>
      <c r="AC20" s="154"/>
      <c r="AD20" s="154"/>
    </row>
    <row r="21" spans="2:46" ht="15" x14ac:dyDescent="0.25">
      <c r="B21" s="170" t="str">
        <f>+INGRESOS!A45</f>
        <v>Once</v>
      </c>
      <c r="C21" s="171"/>
      <c r="D21" s="172"/>
      <c r="E21" s="171"/>
      <c r="F21" s="172"/>
      <c r="G21" s="171"/>
      <c r="H21" s="172"/>
      <c r="I21" s="171"/>
      <c r="J21" s="172"/>
      <c r="K21" s="171"/>
      <c r="L21" s="172"/>
      <c r="M21" s="173">
        <f>+INGRESOS!L45</f>
        <v>0</v>
      </c>
      <c r="N21" s="172"/>
      <c r="P21" s="154"/>
      <c r="Q21" s="154"/>
      <c r="R21" s="154"/>
      <c r="U21" s="154"/>
      <c r="V21" s="154"/>
      <c r="Y21" s="154"/>
      <c r="Z21" s="154"/>
      <c r="AC21" s="154"/>
      <c r="AD21" s="154"/>
    </row>
    <row r="22" spans="2:46" ht="15.75" thickBot="1" x14ac:dyDescent="0.3">
      <c r="B22" s="166" t="str">
        <f>+INGRESOS!A46</f>
        <v>Doce</v>
      </c>
      <c r="C22" s="167"/>
      <c r="D22" s="168"/>
      <c r="E22" s="167"/>
      <c r="F22" s="168"/>
      <c r="G22" s="167"/>
      <c r="H22" s="168"/>
      <c r="I22" s="167"/>
      <c r="J22" s="168"/>
      <c r="K22" s="167"/>
      <c r="L22" s="168"/>
      <c r="M22" s="169"/>
      <c r="N22" s="168">
        <f>+INGRESOS!M46</f>
        <v>0</v>
      </c>
      <c r="P22" s="154"/>
      <c r="Q22" s="154"/>
      <c r="R22" s="154"/>
      <c r="U22" s="154"/>
      <c r="V22" s="154"/>
      <c r="Y22" s="154"/>
      <c r="Z22" s="154"/>
      <c r="AC22" s="154"/>
      <c r="AD22" s="154"/>
    </row>
    <row r="23" spans="2:46" ht="15.75" thickBot="1" x14ac:dyDescent="0.3">
      <c r="B23" s="174" t="s">
        <v>292</v>
      </c>
      <c r="C23" s="175">
        <f>IF(INGRESOS!$J$30=1,INGRESOS!C$54,0)</f>
        <v>0</v>
      </c>
      <c r="D23" s="143">
        <f>IF(INGRESOS!$J$30=2,INGRESOS!D$54,0)</f>
        <v>0</v>
      </c>
      <c r="E23" s="175">
        <f>IF(INGRESOS!$J$30=3,INGRESOS!E$54,0)</f>
        <v>0</v>
      </c>
      <c r="F23" s="143">
        <f>IF(INGRESOS!$J$30=4,INGRESOS!F$54,0)</f>
        <v>0</v>
      </c>
      <c r="G23" s="175">
        <f>IF(INGRESOS!$J$30=5,INGRESOS!G$54,0)</f>
        <v>0</v>
      </c>
      <c r="H23" s="143">
        <f>IF(INGRESOS!$J$30=6,INGRESOS!H$54,0)</f>
        <v>0</v>
      </c>
      <c r="I23" s="175">
        <f>IF(INGRESOS!$J$30=7,INGRESOS!I$54,0)</f>
        <v>0</v>
      </c>
      <c r="J23" s="143">
        <f>IF(INGRESOS!$J$30=8,INGRESOS!J$54,0)</f>
        <v>0</v>
      </c>
      <c r="K23" s="175">
        <f>IF(INGRESOS!$J$30=9,INGRESOS!K$54,0)</f>
        <v>0</v>
      </c>
      <c r="L23" s="143">
        <f>IF(INGRESOS!$J$30=10,INGRESOS!L$54,0)</f>
        <v>0</v>
      </c>
      <c r="M23" s="175">
        <f>IF(INGRESOS!$J$30=11,INGRESOS!M$54,0)</f>
        <v>0</v>
      </c>
      <c r="N23" s="143">
        <f>IF(INGRESOS!$J$30=12,INGRESOS!N$54,0)</f>
        <v>0</v>
      </c>
      <c r="P23" s="154"/>
      <c r="Q23" s="154"/>
      <c r="R23" s="154"/>
      <c r="U23" s="154"/>
      <c r="V23" s="154"/>
      <c r="Y23" s="154"/>
      <c r="Z23" s="154"/>
      <c r="AC23" s="154"/>
      <c r="AD23" s="154"/>
    </row>
    <row r="24" spans="2:46" x14ac:dyDescent="0.2">
      <c r="B24" s="176" t="s">
        <v>290</v>
      </c>
      <c r="C24" s="154"/>
      <c r="D24" s="177">
        <f>INGRESOS!$Z$36</f>
        <v>0</v>
      </c>
      <c r="E24" s="177">
        <f>INGRESOS!$Z$37</f>
        <v>0</v>
      </c>
      <c r="F24" s="177">
        <f>INGRESOS!$Z$38</f>
        <v>0</v>
      </c>
      <c r="G24" s="177">
        <f>INGRESOS!$Z$39</f>
        <v>0</v>
      </c>
      <c r="H24" s="177">
        <f>INGRESOS!$Z$40</f>
        <v>0</v>
      </c>
      <c r="I24" s="177">
        <f>INGRESOS!$Z$41</f>
        <v>0</v>
      </c>
      <c r="J24" s="177">
        <f>INGRESOS!$Z$42</f>
        <v>0</v>
      </c>
      <c r="K24" s="177">
        <f>INGRESOS!$Z$43</f>
        <v>0</v>
      </c>
      <c r="L24" s="177">
        <f>INGRESOS!$Z$44</f>
        <v>0</v>
      </c>
      <c r="M24" s="177">
        <f>INGRESOS!$Z$45</f>
        <v>0</v>
      </c>
      <c r="N24" s="177">
        <f>INGRESOS!$Z$46</f>
        <v>0</v>
      </c>
      <c r="P24" s="154"/>
      <c r="Q24" s="154"/>
      <c r="R24" s="154"/>
      <c r="U24" s="154"/>
      <c r="V24" s="154"/>
      <c r="Y24" s="154"/>
      <c r="Z24" s="154"/>
      <c r="AC24" s="154"/>
      <c r="AD24" s="154"/>
    </row>
    <row r="25" spans="2:46" x14ac:dyDescent="0.2">
      <c r="B25" s="176" t="s">
        <v>364</v>
      </c>
      <c r="D25" s="154" t="str">
        <f t="shared" ref="D25:K25" si="0">IF(D23=0," ",IF($C$11=0,0,($C$11-D23)/$C$11))</f>
        <v xml:space="preserve"> </v>
      </c>
      <c r="E25" s="154" t="str">
        <f t="shared" si="0"/>
        <v xml:space="preserve"> </v>
      </c>
      <c r="F25" s="154" t="str">
        <f t="shared" si="0"/>
        <v xml:space="preserve"> </v>
      </c>
      <c r="G25" s="154" t="str">
        <f t="shared" si="0"/>
        <v xml:space="preserve"> </v>
      </c>
      <c r="H25" s="154" t="str">
        <f t="shared" si="0"/>
        <v xml:space="preserve"> </v>
      </c>
      <c r="I25" s="154" t="str">
        <f t="shared" si="0"/>
        <v xml:space="preserve"> </v>
      </c>
      <c r="J25" s="154" t="str">
        <f t="shared" si="0"/>
        <v xml:space="preserve"> </v>
      </c>
      <c r="K25" s="154" t="str">
        <f t="shared" si="0"/>
        <v xml:space="preserve"> </v>
      </c>
      <c r="L25" s="154" t="str">
        <f>IF(L23=0," ",IF($C$11=0,0,($C$11-L23)/$C$11))</f>
        <v xml:space="preserve"> </v>
      </c>
      <c r="M25" s="154" t="str">
        <f t="shared" ref="M25" si="1">IF(M23=0," ",IF($C$11=0,0,($C$11-M23)/$C$11))</f>
        <v xml:space="preserve"> </v>
      </c>
      <c r="N25" s="154" t="str">
        <f>IF(N23=0," ",IF($C$11=0,0,($C$11-N23)/$C$11))</f>
        <v xml:space="preserve"> </v>
      </c>
      <c r="P25" s="154"/>
      <c r="Q25" s="154"/>
      <c r="R25" s="154"/>
      <c r="U25" s="154"/>
      <c r="V25" s="154"/>
      <c r="Y25" s="154"/>
      <c r="Z25" s="154"/>
      <c r="AC25" s="154"/>
      <c r="AD25" s="154"/>
    </row>
    <row r="26" spans="2:46" x14ac:dyDescent="0.2">
      <c r="AL26" s="178"/>
    </row>
    <row r="27" spans="2:46" ht="15" x14ac:dyDescent="0.25">
      <c r="B27" s="179" t="str">
        <f>CONCATENATE("Un Crédito Académico son 48 horas (",B28," con acompañamieto (sincrónicas) y ",48-B28," independientes (asincrónicas))")</f>
        <v>Un Crédito Académico son 48 horas (16 con acompañamieto (sincrónicas) y 32 independientes (asincrónicas))</v>
      </c>
    </row>
    <row r="28" spans="2:46" ht="15.75" thickBot="1" x14ac:dyDescent="0.3">
      <c r="B28" s="292">
        <v>16</v>
      </c>
      <c r="E28" s="180" t="s">
        <v>368</v>
      </c>
      <c r="F28" s="151">
        <f>48/B28-1</f>
        <v>2</v>
      </c>
      <c r="G28" s="111" t="s">
        <v>376</v>
      </c>
      <c r="I28" s="151"/>
      <c r="J28" s="151"/>
      <c r="AN28" s="501" t="s">
        <v>452</v>
      </c>
      <c r="AO28" s="501"/>
      <c r="AP28" s="501"/>
      <c r="AQ28" s="501"/>
      <c r="AR28" s="501"/>
      <c r="AS28" s="501"/>
      <c r="AT28" s="501"/>
    </row>
    <row r="29" spans="2:46" ht="15.75" thickBot="1" x14ac:dyDescent="0.3">
      <c r="B29" s="507" t="s">
        <v>326</v>
      </c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M29" s="508"/>
      <c r="N29" s="508"/>
      <c r="O29" s="508"/>
      <c r="P29" s="508"/>
      <c r="Q29" s="508"/>
      <c r="R29" s="508"/>
      <c r="S29" s="508"/>
      <c r="T29" s="508"/>
      <c r="U29" s="508"/>
      <c r="V29" s="508"/>
      <c r="W29" s="508"/>
      <c r="X29" s="508"/>
      <c r="Y29" s="508"/>
      <c r="Z29" s="508"/>
      <c r="AA29" s="508"/>
      <c r="AB29" s="508"/>
      <c r="AC29" s="508"/>
      <c r="AD29" s="509"/>
      <c r="AI29" s="291">
        <v>40</v>
      </c>
      <c r="AJ29" s="489" t="s">
        <v>300</v>
      </c>
      <c r="AK29" s="490"/>
      <c r="AL29" s="491"/>
      <c r="AQ29" s="291">
        <v>40</v>
      </c>
      <c r="AR29" s="489" t="s">
        <v>300</v>
      </c>
      <c r="AS29" s="490"/>
      <c r="AT29" s="491"/>
    </row>
    <row r="30" spans="2:46" ht="15.75" customHeight="1" x14ac:dyDescent="0.25">
      <c r="B30" s="502" t="s">
        <v>283</v>
      </c>
      <c r="C30" s="484" t="s">
        <v>327</v>
      </c>
      <c r="D30" s="485"/>
      <c r="E30" s="484" t="s">
        <v>328</v>
      </c>
      <c r="F30" s="485"/>
      <c r="G30" s="484" t="s">
        <v>329</v>
      </c>
      <c r="H30" s="485"/>
      <c r="I30" s="484" t="s">
        <v>330</v>
      </c>
      <c r="J30" s="485"/>
      <c r="K30" s="484" t="s">
        <v>331</v>
      </c>
      <c r="L30" s="485"/>
      <c r="M30" s="484" t="s">
        <v>332</v>
      </c>
      <c r="N30" s="485"/>
      <c r="O30" s="484" t="s">
        <v>333</v>
      </c>
      <c r="P30" s="485"/>
      <c r="Q30" s="484" t="s">
        <v>334</v>
      </c>
      <c r="R30" s="485"/>
      <c r="S30" s="484" t="s">
        <v>335</v>
      </c>
      <c r="T30" s="485"/>
      <c r="U30" s="484" t="s">
        <v>336</v>
      </c>
      <c r="V30" s="485"/>
      <c r="W30" s="484" t="s">
        <v>342</v>
      </c>
      <c r="X30" s="485"/>
      <c r="Y30" s="484" t="s">
        <v>343</v>
      </c>
      <c r="Z30" s="485"/>
      <c r="AA30" s="484" t="s">
        <v>344</v>
      </c>
      <c r="AB30" s="485"/>
      <c r="AC30" s="484" t="s">
        <v>345</v>
      </c>
      <c r="AD30" s="485"/>
      <c r="AF30" s="486" t="s">
        <v>294</v>
      </c>
      <c r="AG30" s="500"/>
      <c r="AH30" s="487"/>
      <c r="AI30" s="498" t="s">
        <v>297</v>
      </c>
      <c r="AJ30" s="492" t="s">
        <v>301</v>
      </c>
      <c r="AK30" s="494" t="s">
        <v>302</v>
      </c>
      <c r="AL30" s="496" t="s">
        <v>303</v>
      </c>
      <c r="AN30" s="486" t="s">
        <v>294</v>
      </c>
      <c r="AO30" s="500"/>
      <c r="AP30" s="487"/>
      <c r="AQ30" s="498" t="s">
        <v>297</v>
      </c>
      <c r="AR30" s="492" t="s">
        <v>301</v>
      </c>
      <c r="AS30" s="494" t="s">
        <v>302</v>
      </c>
      <c r="AT30" s="496" t="s">
        <v>303</v>
      </c>
    </row>
    <row r="31" spans="2:46" ht="15.75" thickBot="1" x14ac:dyDescent="0.3">
      <c r="B31" s="503"/>
      <c r="C31" s="181" t="s">
        <v>285</v>
      </c>
      <c r="D31" s="182" t="s">
        <v>286</v>
      </c>
      <c r="E31" s="181" t="s">
        <v>285</v>
      </c>
      <c r="F31" s="182" t="s">
        <v>286</v>
      </c>
      <c r="G31" s="181" t="s">
        <v>285</v>
      </c>
      <c r="H31" s="182" t="s">
        <v>286</v>
      </c>
      <c r="I31" s="181" t="s">
        <v>285</v>
      </c>
      <c r="J31" s="182" t="s">
        <v>286</v>
      </c>
      <c r="K31" s="181" t="s">
        <v>285</v>
      </c>
      <c r="L31" s="182" t="s">
        <v>286</v>
      </c>
      <c r="M31" s="181" t="s">
        <v>285</v>
      </c>
      <c r="N31" s="182" t="s">
        <v>286</v>
      </c>
      <c r="O31" s="181" t="s">
        <v>285</v>
      </c>
      <c r="P31" s="182" t="s">
        <v>286</v>
      </c>
      <c r="Q31" s="181" t="s">
        <v>285</v>
      </c>
      <c r="R31" s="182" t="s">
        <v>286</v>
      </c>
      <c r="S31" s="183" t="s">
        <v>285</v>
      </c>
      <c r="T31" s="182" t="s">
        <v>286</v>
      </c>
      <c r="U31" s="181" t="s">
        <v>285</v>
      </c>
      <c r="V31" s="182" t="s">
        <v>286</v>
      </c>
      <c r="W31" s="183" t="s">
        <v>285</v>
      </c>
      <c r="X31" s="182" t="s">
        <v>286</v>
      </c>
      <c r="Y31" s="181" t="s">
        <v>285</v>
      </c>
      <c r="Z31" s="182" t="s">
        <v>286</v>
      </c>
      <c r="AA31" s="183" t="s">
        <v>285</v>
      </c>
      <c r="AB31" s="182" t="s">
        <v>286</v>
      </c>
      <c r="AC31" s="181" t="s">
        <v>285</v>
      </c>
      <c r="AD31" s="182" t="s">
        <v>286</v>
      </c>
      <c r="AF31" s="184" t="s">
        <v>295</v>
      </c>
      <c r="AG31" s="185" t="s">
        <v>296</v>
      </c>
      <c r="AH31" s="186" t="s">
        <v>299</v>
      </c>
      <c r="AI31" s="499"/>
      <c r="AJ31" s="493"/>
      <c r="AK31" s="495"/>
      <c r="AL31" s="497"/>
      <c r="AN31" s="184" t="s">
        <v>295</v>
      </c>
      <c r="AO31" s="185" t="s">
        <v>296</v>
      </c>
      <c r="AP31" s="186" t="s">
        <v>299</v>
      </c>
      <c r="AQ31" s="499"/>
      <c r="AR31" s="493"/>
      <c r="AS31" s="495"/>
      <c r="AT31" s="497"/>
    </row>
    <row r="32" spans="2:46" s="192" customFormat="1" ht="24" customHeight="1" x14ac:dyDescent="0.25">
      <c r="B32" s="187" t="str">
        <f t="shared" ref="B32:B43" si="2">+B11</f>
        <v>Primero</v>
      </c>
      <c r="C32" s="188">
        <f>($AF32+$AG32*2+$AH32)*$AI32</f>
        <v>0</v>
      </c>
      <c r="D32" s="189">
        <f>($AF32+$AG32*2)*$AI32*$B$28+$AH32*$AJ32*$AL32</f>
        <v>0</v>
      </c>
      <c r="E32" s="190">
        <f>IF(INGRESOS!$J$10=INGRESOS!$AA$8,0,IF(INGRESOS!$J$10=INGRESOS!$AA$7,0,($AF32+$AG32*2+$AH32)*$AI32))</f>
        <v>0</v>
      </c>
      <c r="F32" s="191">
        <f>IF(INGRESOS!$J$10=INGRESOS!$AA$8,0,IF(INGRESOS!$J$10=INGRESOS!$AA$7,0,($AF32+$AG32*2)*$AI32*$B$28+$AH32*$AJ32*$AL32))</f>
        <v>0</v>
      </c>
      <c r="G32" s="190">
        <f>IF(INGRESOS!$J$10=INGRESOS!$AA$8,0,($AF32+$AG32*2+$AH32)*$AI32)</f>
        <v>0</v>
      </c>
      <c r="H32" s="191">
        <f>IF(INGRESOS!$J$10=INGRESOS!$AA$8,0,($AF32+$AG32*2)*$AI32*$B$28+$AH32*$AJ32*$AL32)</f>
        <v>0</v>
      </c>
      <c r="I32" s="190">
        <f>IF(INGRESOS!$J$10=INGRESOS!$AA$8,0,IF(INGRESOS!$J$10=INGRESOS!$AA$7,0,($AF32+$AG32*2+$AH32)*$AI32))</f>
        <v>0</v>
      </c>
      <c r="J32" s="191">
        <f>IF(INGRESOS!$J$10=INGRESOS!$AA$8,0,IF(INGRESOS!$J$10=INGRESOS!$AA$7,0,($AF32+$AG32*2)*$AI32*$B$28+$AH32*$AJ32*$AL32))</f>
        <v>0</v>
      </c>
      <c r="K32" s="190">
        <f>IF(INGRESOS!$J$10=INGRESOS!$AA$8,0,($AF32+$AG32*2+$AH32)*$AI32)</f>
        <v>0</v>
      </c>
      <c r="L32" s="191">
        <f>IF(INGRESOS!$J$10=INGRESOS!$AA$8,0,($AF32+$AG32*2)*$AI32*$B$28+$AH32*$AJ32*$AL32)</f>
        <v>0</v>
      </c>
      <c r="M32" s="190">
        <f>IF(INGRESOS!$J$10=INGRESOS!$AA$8,0,IF(INGRESOS!$J$10=INGRESOS!$AA$7,0,($AF32+$AG32*2+$AH32)*$AI32))</f>
        <v>0</v>
      </c>
      <c r="N32" s="191">
        <f>IF(INGRESOS!$J$10=INGRESOS!$AA$8,0,IF(INGRESOS!$J$10=INGRESOS!$AA$7,0,($AF32+$AG32*2)*$AI32*$B$28+$AH32*$AJ32*$AL32))</f>
        <v>0</v>
      </c>
      <c r="O32" s="190">
        <f>IF(INGRESOS!$J$10=INGRESOS!$AA$8,0,($AF32+$AG32*2+$AH32)*$AI32)</f>
        <v>0</v>
      </c>
      <c r="P32" s="191">
        <f>IF(INGRESOS!$J$10=INGRESOS!$AA$8,0,($AF32+$AG32*2)*$AI32*$B$28+$AH32*$AJ32*$AL32)</f>
        <v>0</v>
      </c>
      <c r="Q32" s="190">
        <f>IF(INGRESOS!$J$10=INGRESOS!$AA$8,0,IF(INGRESOS!$J$10=INGRESOS!$AA$7,0,($AF32+$AG32*2+$AH32)*$AI32))</f>
        <v>0</v>
      </c>
      <c r="R32" s="191">
        <f>IF(INGRESOS!$J$10=INGRESOS!$AA$8,0,IF(INGRESOS!$J$10=INGRESOS!$AA$7,0,($AF32+$AG32*2)*$AI32*$B$28+$AH32*$AJ32*$AL32))</f>
        <v>0</v>
      </c>
      <c r="S32" s="190">
        <f>IF(INGRESOS!$J$10=INGRESOS!$AA$8,0,($AF32+$AG32*2+$AH32)*$AI32)</f>
        <v>0</v>
      </c>
      <c r="T32" s="191">
        <f>IF(INGRESOS!$J$10=INGRESOS!$AA$8,0,($AF32+$AG32*2)*$AI32*$B$28+$AH32*$AJ32*$AL32)</f>
        <v>0</v>
      </c>
      <c r="U32" s="190">
        <f>IF(INGRESOS!$J$10=INGRESOS!$AA$8,0,IF(INGRESOS!$J$10=INGRESOS!$AA$7,0,($AF32+$AG32*2+$AH32)*$AI32))</f>
        <v>0</v>
      </c>
      <c r="V32" s="191">
        <f>IF(INGRESOS!$J$10=INGRESOS!$AA$8,0,IF(INGRESOS!$J$10=INGRESOS!$AA$7,0,($AF32+$AG32*2)*$AI32*$B$28+$AH32*$AJ32*$AL32))</f>
        <v>0</v>
      </c>
      <c r="W32" s="190">
        <f>IF(INGRESOS!$J$10=INGRESOS!$AA$8,0,($AF32+$AG32*2+$AH32)*$AI32)</f>
        <v>0</v>
      </c>
      <c r="X32" s="191">
        <f>IF(INGRESOS!$J$10=INGRESOS!$AA$8,0,($AF32+$AG32*2)*$AI32*$B$28+$AH32*$AJ32*$AL32)</f>
        <v>0</v>
      </c>
      <c r="Y32" s="190">
        <f>IF(INGRESOS!$J$10=INGRESOS!$AA$8,0,IF(INGRESOS!$J$10=INGRESOS!$AA$7,0,($AF32+$AG32*2+$AH32)*$AI32))</f>
        <v>0</v>
      </c>
      <c r="Z32" s="191">
        <f>IF(INGRESOS!$J$10=INGRESOS!$AA$8,0,IF(INGRESOS!$J$10=INGRESOS!$AA$7,0,($AF32+$AG32*2)*$AI32*$B$28+$AH32*$AJ32*$AL32))</f>
        <v>0</v>
      </c>
      <c r="AA32" s="190">
        <f>IF(INGRESOS!$J$10=INGRESOS!$AA$8,0,($AF32+$AG32*2+$AH32)*$AI32)</f>
        <v>0</v>
      </c>
      <c r="AB32" s="191">
        <f>IF(INGRESOS!$J$10=INGRESOS!$AA$8,0,($AF32+$AG32*2)*$AI32*$B$28+$AH32*$AJ32*$AL32)</f>
        <v>0</v>
      </c>
      <c r="AC32" s="190">
        <f>IF(INGRESOS!$J$10=INGRESOS!$AA$8,0,IF(INGRESOS!$J$10=INGRESOS!$AA$7,0,($AF32+$AG32*2+$AH32)*$AI32))</f>
        <v>0</v>
      </c>
      <c r="AD32" s="191">
        <f>IF(INGRESOS!$J$10=INGRESOS!$AA$8,0,IF(INGRESOS!$J$10=INGRESOS!$AA$7,0,($AF32+$AG32*2)*$AI32*$B$28+$AH32*$AJ32*$AL32))</f>
        <v>0</v>
      </c>
      <c r="AF32" s="193">
        <f>SUM(Malla!$F$10:$F$17)-AH32-AG32</f>
        <v>0</v>
      </c>
      <c r="AG32" s="194">
        <f>SUMIF(Malla!$E$10:$E$17,Malla!$AB$11,Malla!$F$10:$F$17)</f>
        <v>0</v>
      </c>
      <c r="AH32" s="195">
        <f>SUMIF(Malla!$D$10:$D$17,Malla!$AA$12,Malla!$F$10:$F$17)</f>
        <v>0</v>
      </c>
      <c r="AI32" s="196">
        <f>ROUNDUP(IF($C11=0,0,$C11/$AI$29),0)</f>
        <v>0</v>
      </c>
      <c r="AJ32" s="279"/>
      <c r="AK32" s="280"/>
      <c r="AL32" s="197">
        <f>ROUNDUP(IF(AH32&gt;0,C11/AK32,0),0)</f>
        <v>0</v>
      </c>
      <c r="AN32" s="193">
        <f>SUM(Malla!$R$10:$R$17)-AP32-AO32</f>
        <v>0</v>
      </c>
      <c r="AO32" s="194">
        <f>SUMIF(Malla!$Q$10:$Q$17,Malla!$AB$11,Malla!$R$10:$R$17)</f>
        <v>0</v>
      </c>
      <c r="AP32" s="195">
        <f>SUMIF(Malla!$P$10:$P$17,Malla!$AA$12,Malla!$R$10:$R$17)</f>
        <v>0</v>
      </c>
      <c r="AQ32" s="196">
        <f>ROUNDUP(IF(INGRESOS!$AA35=0,0,INGRESOS!$AA35/$AQ$29),0)</f>
        <v>0</v>
      </c>
      <c r="AR32" s="283"/>
      <c r="AS32" s="284"/>
      <c r="AT32" s="197">
        <f>ROUNDUP(IF(AP32&gt;0,C11/AS32,0),0)</f>
        <v>0</v>
      </c>
    </row>
    <row r="33" spans="2:46" s="192" customFormat="1" ht="24" customHeight="1" thickBot="1" x14ac:dyDescent="0.3">
      <c r="B33" s="198" t="str">
        <f t="shared" si="2"/>
        <v>Segundo</v>
      </c>
      <c r="C33" s="199">
        <f>IF(INGRESOS!$J$10=INGRESOS!$AA$8,0,IF(INGRESOS!$J$10=INGRESOS!$AA$7,0,($AN33+$AO33*2+$AP33)*$AQ33))</f>
        <v>0</v>
      </c>
      <c r="D33" s="200">
        <f>IF(INGRESOS!$J$10=INGRESOS!$AA$8,0,IF(C33=0,0,IF(INGRESOS!$J$10=INGRESOS!$AA$7,0,($AN33+$AO33*2)*$AQ33*$B$28+$AP33*$AR33*$AT33)))</f>
        <v>0</v>
      </c>
      <c r="E33" s="201">
        <f>($AF33+$AG33*2+$AH33)*$AI33</f>
        <v>0</v>
      </c>
      <c r="F33" s="202">
        <f>($AF33+$AG33*2)*$AI33*$B$28+$AH33*$AJ33*$AL33</f>
        <v>0</v>
      </c>
      <c r="G33" s="203">
        <f>IF(INGRESOS!$J$10=INGRESOS!$AA$8,0,IF(INGRESOS!$J$10=INGRESOS!$AA$7,0,($AF33+$AG33*2+$AH33)*$AI33))</f>
        <v>0</v>
      </c>
      <c r="H33" s="204">
        <f>IF(INGRESOS!$J$10=INGRESOS!$AA$8,0,IF(INGRESOS!$J$10=INGRESOS!$AA$7,0,($AF33+$AG33*2)*$AI33*$B$28+$AH33*$AJ33*$AL33))</f>
        <v>0</v>
      </c>
      <c r="I33" s="203">
        <f>IF(INGRESOS!$J$10=INGRESOS!$AA$8,0,($AF33+$AG33*2+$AH33)*$AI33)</f>
        <v>0</v>
      </c>
      <c r="J33" s="204">
        <f>IF(INGRESOS!$J$10=INGRESOS!$AA$8,0,($AF33+$AG33*2)*$AI33*$B$28+$AH33*$AJ33*$AL33)</f>
        <v>0</v>
      </c>
      <c r="K33" s="203">
        <f>IF(INGRESOS!$J$10=INGRESOS!$AA$8,0,IF(INGRESOS!$J$10=INGRESOS!$AA$7,0,($AF33+$AG33*2+$AH33)*$AI33))</f>
        <v>0</v>
      </c>
      <c r="L33" s="204">
        <f>IF(INGRESOS!$J$10=INGRESOS!$AA$8,0,IF(INGRESOS!$J$10=INGRESOS!$AA$7,0,($AF33+$AG33*2)*$AI33*$B$28+$AH33*$AJ33*$AL33))</f>
        <v>0</v>
      </c>
      <c r="M33" s="203">
        <f>IF(INGRESOS!$J$10=INGRESOS!$AA$8,0,($AF33+$AG33*2+$AH33)*$AI33)</f>
        <v>0</v>
      </c>
      <c r="N33" s="204">
        <f>IF(INGRESOS!$J$10=INGRESOS!$AA$8,0,($AF33+$AG33*2)*$AI33*$B$28+$AH33*$AJ33*$AL33)</f>
        <v>0</v>
      </c>
      <c r="O33" s="203">
        <f>IF(INGRESOS!$J$10=INGRESOS!$AA$8,0,IF(INGRESOS!$J$10=INGRESOS!$AA$7,0,($AF33+$AG33*2+$AH33)*$AI33))</f>
        <v>0</v>
      </c>
      <c r="P33" s="204">
        <f>IF(INGRESOS!$J$10=INGRESOS!$AA$8,0,IF(INGRESOS!$J$10=INGRESOS!$AA$7,0,($AF33+$AG33*2)*$AI33*$B$28+$AH33*$AJ33*$AL33))</f>
        <v>0</v>
      </c>
      <c r="Q33" s="203">
        <f>IF(INGRESOS!$J$10=INGRESOS!$AA$8,0,($AF33+$AG33*2+$AH33)*$AI33)</f>
        <v>0</v>
      </c>
      <c r="R33" s="204">
        <f>IF(INGRESOS!$J$10=INGRESOS!$AA$8,0,($AF33+$AG33*2)*$AI33*$B$28+$AH33*$AJ33*$AL33)</f>
        <v>0</v>
      </c>
      <c r="S33" s="203">
        <f>IF(INGRESOS!$J$10=INGRESOS!$AA$8,0,IF(INGRESOS!$J$10=INGRESOS!$AA$7,0,($AF33+$AG33*2+$AH33)*$AI33))</f>
        <v>0</v>
      </c>
      <c r="T33" s="204">
        <f>IF(INGRESOS!$J$10=INGRESOS!$AA$8,0,IF(INGRESOS!$J$10=INGRESOS!$AA$7,0,($AF33+$AG33*2)*$AI33*$B$28+$AH33*$AJ33*$AL33))</f>
        <v>0</v>
      </c>
      <c r="U33" s="203">
        <f>IF(INGRESOS!$J$10=INGRESOS!$AA$8,0,($AF33+$AG33*2+$AH33)*$AI33)</f>
        <v>0</v>
      </c>
      <c r="V33" s="204">
        <f>IF(INGRESOS!$J$10=INGRESOS!$AA$8,0,($AF33+$AG33*2)*$AI33*$B$28+$AH33*$AJ33*$AL33)</f>
        <v>0</v>
      </c>
      <c r="W33" s="203">
        <f>IF(INGRESOS!$J$10=INGRESOS!$AA$8,0,IF(INGRESOS!$J$10=INGRESOS!$AA$7,0,($AF33+$AG33*2+$AH33)*$AI33))</f>
        <v>0</v>
      </c>
      <c r="X33" s="204">
        <f>IF(INGRESOS!$J$10=INGRESOS!$AA$8,0,IF(INGRESOS!$J$10=INGRESOS!$AA$7,0,($AF33+$AG33*2)*$AI33*$B$28+$AH33*$AJ33*$AL33))</f>
        <v>0</v>
      </c>
      <c r="Y33" s="203">
        <f>IF(INGRESOS!$J$10=INGRESOS!$AA$8,0,($AF33+$AG33*2+$AH33)*$AI33)</f>
        <v>0</v>
      </c>
      <c r="Z33" s="204">
        <f>IF(INGRESOS!$J$10=INGRESOS!$AA$8,0,($AF33+$AG33*2)*$AI33*$B$28+$AH33*$AJ33*$AL33)</f>
        <v>0</v>
      </c>
      <c r="AA33" s="203">
        <f>IF(INGRESOS!$J$10=INGRESOS!$AA$8,0,IF(INGRESOS!$J$10=INGRESOS!$AA$7,0,($AF33+$AG33*2+$AH33)*$AI33))</f>
        <v>0</v>
      </c>
      <c r="AB33" s="204">
        <f>IF(INGRESOS!$J$10=INGRESOS!$AA$8,0,IF(INGRESOS!$J$10=INGRESOS!$AA$7,0,($AF33+$AG33*2)*$AI33*$B$28+$AH33*$AJ33*$AL33))</f>
        <v>0</v>
      </c>
      <c r="AC33" s="203">
        <f>IF(INGRESOS!$J$10=INGRESOS!$AA$8,0,($AF33+$AG33*2+$AH33)*$AI33)</f>
        <v>0</v>
      </c>
      <c r="AD33" s="204">
        <f>IF(INGRESOS!$J$10=INGRESOS!$AA$8,0,($AF33+$AG33*2)*$AI33*$B$28+$AH33*$AJ33*$AL33)</f>
        <v>0</v>
      </c>
      <c r="AF33" s="205">
        <f>SUM(Malla!$F$18:$F$25)-AH33-AG33</f>
        <v>0</v>
      </c>
      <c r="AG33" s="206">
        <f>SUMIF(Malla!$E$18:$E$25,Malla!$AB$11,Malla!$F$18:$F$25)</f>
        <v>0</v>
      </c>
      <c r="AH33" s="207">
        <f>SUMIF(Malla!$D$18:$D$25,Malla!$AA$12,Malla!$F$18:$F$25)</f>
        <v>0</v>
      </c>
      <c r="AI33" s="208">
        <f>ROUNDUP(IF($D12=0,0,$D12/$AI$29),0)</f>
        <v>0</v>
      </c>
      <c r="AJ33" s="281"/>
      <c r="AK33" s="282"/>
      <c r="AL33" s="209">
        <f>ROUNDUP(IF(AH33&gt;0,D12/AK33,0),0)</f>
        <v>0</v>
      </c>
      <c r="AN33" s="205">
        <f>SUM(Malla!$R$18:$R$25)-AP33-AO33</f>
        <v>0</v>
      </c>
      <c r="AO33" s="206">
        <f>SUMIF(Malla!$Q$18:$Q$25,Malla!$AB$11,Malla!$R$18:$R$25)</f>
        <v>0</v>
      </c>
      <c r="AP33" s="207">
        <f>SUMIF(Malla!$P$18:$P$25,Malla!$AA$12,Malla!$R$18:$R$25)</f>
        <v>0</v>
      </c>
      <c r="AQ33" s="210">
        <f>ROUNDUP(IF(INGRESOS!$AA36=0,0,INGRESOS!$AA36/$AQ$29),0)</f>
        <v>0</v>
      </c>
      <c r="AR33" s="285"/>
      <c r="AS33" s="286"/>
      <c r="AT33" s="209">
        <f>ROUNDUP(IF(AP33&gt;0,D12/AS33,0),0)</f>
        <v>0</v>
      </c>
    </row>
    <row r="34" spans="2:46" s="192" customFormat="1" ht="24" customHeight="1" x14ac:dyDescent="0.25">
      <c r="B34" s="187" t="str">
        <f t="shared" si="2"/>
        <v>Tercero</v>
      </c>
      <c r="C34" s="190">
        <f>IF(INGRESOS!$J$10=INGRESOS!$AA$8,0,($AN34+$AO34*2+$AP34)*$AQ34)</f>
        <v>0</v>
      </c>
      <c r="D34" s="191">
        <f>IF(INGRESOS!$J$10=INGRESOS!$AA$8,0,IF(C34=0,0,($AN34+$AO34*2)*$AQ34*$B$28+$AP34*$AR34*$AT34))</f>
        <v>0</v>
      </c>
      <c r="E34" s="190">
        <f>IF(INGRESOS!$J$10=INGRESOS!$AA$8,0,IF(INGRESOS!$J$10=INGRESOS!$AA$7,0,($AN34+$AO34*2+$AP34)*$AQ34))</f>
        <v>0</v>
      </c>
      <c r="F34" s="191">
        <f>IF(INGRESOS!$J$10=INGRESOS!$AA$8,0,IF(E34=0,0,($AN34+$AO34*2)*$AQ34*$B$28+$AP34*$AR34*$AT34))</f>
        <v>0</v>
      </c>
      <c r="G34" s="188">
        <f>($AF34+$AG34*2+$AH34)*$AI34</f>
        <v>0</v>
      </c>
      <c r="H34" s="189">
        <f>($AF34+$AG34*2)*$AI34*$B$28+$AH34*$AJ34*$AL34</f>
        <v>0</v>
      </c>
      <c r="I34" s="190">
        <f>IF(INGRESOS!$J$10=INGRESOS!$AA$8,0,IF(INGRESOS!$J$10=INGRESOS!$AA$7,0,($AF34+$AG34*2+$AH34)*$AI34))</f>
        <v>0</v>
      </c>
      <c r="J34" s="191">
        <f>IF(INGRESOS!$J$10=INGRESOS!$AA$8,0,IF(INGRESOS!$J$10=INGRESOS!$AA$7,0,($AF34+$AG34*2)*$AI34*$B$28+$AH34*$AJ34*$AL34))</f>
        <v>0</v>
      </c>
      <c r="K34" s="190">
        <f>IF(INGRESOS!$J$10=INGRESOS!$AA$8,0,($AF34+$AG34*2+$AH34)*$AI34)</f>
        <v>0</v>
      </c>
      <c r="L34" s="191">
        <f>IF(INGRESOS!$J$10=INGRESOS!$AA$8,0,($AF34+$AG34*2)*$AI34*$B$28+$AH34*$AJ34*$AL34)</f>
        <v>0</v>
      </c>
      <c r="M34" s="190">
        <f>IF(INGRESOS!$J$10=INGRESOS!$AA$8,0,IF(INGRESOS!$J$10=INGRESOS!$AA$7,0,($AF34+$AG34*2+$AH34)*$AI34))</f>
        <v>0</v>
      </c>
      <c r="N34" s="191">
        <f>IF(INGRESOS!$J$10=INGRESOS!$AA$8,0,IF(INGRESOS!$J$10=INGRESOS!$AA$7,0,($AF34+$AG34*2)*$AI34*$B$28+$AH34*$AJ34*$AL34))</f>
        <v>0</v>
      </c>
      <c r="O34" s="190">
        <f>IF(INGRESOS!$J$10=INGRESOS!$AA$8,0,($AF34+$AG34*2+$AH34)*$AI34)</f>
        <v>0</v>
      </c>
      <c r="P34" s="191">
        <f>IF(INGRESOS!$J$10=INGRESOS!$AA$8,0,($AF34+$AG34*2)*$AI34*$B$28+$AH34*$AJ34*$AL34)</f>
        <v>0</v>
      </c>
      <c r="Q34" s="190">
        <f>IF(INGRESOS!$J$10=INGRESOS!$AA$8,0,IF(INGRESOS!$J$10=INGRESOS!$AA$7,0,($AF34+$AG34*2+$AH34)*$AI34))</f>
        <v>0</v>
      </c>
      <c r="R34" s="191">
        <f>IF(INGRESOS!$J$10=INGRESOS!$AA$8,0,IF(INGRESOS!$J$10=INGRESOS!$AA$7,0,($AF34+$AG34*2)*$AI34*$B$28+$AH34*$AJ34*$AL34))</f>
        <v>0</v>
      </c>
      <c r="S34" s="190">
        <f>IF(INGRESOS!$J$10=INGRESOS!$AA$8,0,($AF34+$AG34*2+$AH34)*$AI34)</f>
        <v>0</v>
      </c>
      <c r="T34" s="191">
        <f>IF(INGRESOS!$J$10=INGRESOS!$AA$8,0,($AF34+$AG34*2)*$AI34*$B$28+$AH34*$AJ34*$AL34)</f>
        <v>0</v>
      </c>
      <c r="U34" s="190">
        <f>IF(INGRESOS!$J$10=INGRESOS!$AA$8,0,IF(INGRESOS!$J$10=INGRESOS!$AA$7,0,($AF34+$AG34*2+$AH34)*$AI34))</f>
        <v>0</v>
      </c>
      <c r="V34" s="191">
        <f>IF(INGRESOS!$J$10=INGRESOS!$AA$8,0,IF(INGRESOS!$J$10=INGRESOS!$AA$7,0,($AF34+$AG34*2)*$AI34*$B$28+$AH34*$AJ34*$AL34))</f>
        <v>0</v>
      </c>
      <c r="W34" s="190">
        <f>IF(INGRESOS!$J$10=INGRESOS!$AA$8,0,($AF34+$AG34*2+$AH34)*$AI34)</f>
        <v>0</v>
      </c>
      <c r="X34" s="191">
        <f>IF(INGRESOS!$J$10=INGRESOS!$AA$8,0,($AF34+$AG34*2)*$AI34*$B$28+$AH34*$AJ34*$AL34)</f>
        <v>0</v>
      </c>
      <c r="Y34" s="190">
        <f>IF(INGRESOS!$J$10=INGRESOS!$AA$8,0,IF(INGRESOS!$J$10=INGRESOS!$AA$7,0,($AF34+$AG34*2+$AH34)*$AI34))</f>
        <v>0</v>
      </c>
      <c r="Z34" s="191">
        <f>IF(INGRESOS!$J$10=INGRESOS!$AA$8,0,IF(INGRESOS!$J$10=INGRESOS!$AA$7,0,($AF34+$AG34*2)*$AI34*$B$28+$AH34*$AJ34*$AL34))</f>
        <v>0</v>
      </c>
      <c r="AA34" s="190">
        <f>IF(INGRESOS!$J$10=INGRESOS!$AA$8,0,($AF34+$AG34*2+$AH34)*$AI34)</f>
        <v>0</v>
      </c>
      <c r="AB34" s="191">
        <f>IF(INGRESOS!$J$10=INGRESOS!$AA$8,0,($AF34+$AG34*2)*$AI34*$B$28+$AH34*$AJ34*$AL34)</f>
        <v>0</v>
      </c>
      <c r="AC34" s="190">
        <f>IF(INGRESOS!$J$10=INGRESOS!$AA$8,0,IF(INGRESOS!$J$10=INGRESOS!$AA$7,0,($AF34+$AG34*2+$AH34)*$AI34))</f>
        <v>0</v>
      </c>
      <c r="AD34" s="191">
        <f>IF(INGRESOS!$J$10=INGRESOS!$AA$8,0,IF(INGRESOS!$J$10=INGRESOS!$AA$7,0,($AF34+$AG34*2)*$AI34*$B$28+$AH34*$AJ34*$AL34))</f>
        <v>0</v>
      </c>
      <c r="AF34" s="193">
        <f>SUM(Malla!$F$26:$F$33)-AH34-AG34</f>
        <v>0</v>
      </c>
      <c r="AG34" s="194">
        <f>SUMIF(Malla!$E$26:$E$33,Malla!$AB$11,Malla!$F$26:$F$33)</f>
        <v>0</v>
      </c>
      <c r="AH34" s="195">
        <f>SUMIF(Malla!$D$26:$D$33,Malla!$AA$12,Malla!$F$26:$F$33)</f>
        <v>0</v>
      </c>
      <c r="AI34" s="196">
        <f>ROUNDUP(IF($E13=0,0,$E13/$AI$29),0)</f>
        <v>0</v>
      </c>
      <c r="AJ34" s="283"/>
      <c r="AK34" s="284"/>
      <c r="AL34" s="195">
        <f>ROUNDUP(IF(AH34&gt;0,E13/AK34,0),0)</f>
        <v>0</v>
      </c>
      <c r="AN34" s="193">
        <f>SUM(Malla!$R$26:$R$33)-AP34-AO34</f>
        <v>0</v>
      </c>
      <c r="AO34" s="194">
        <f>SUMIF(Malla!$Q$26:$Q$33,Malla!$AB$11,Malla!$R$26:$R$33)</f>
        <v>0</v>
      </c>
      <c r="AP34" s="195">
        <f>SUMIF(Malla!$P$26:$P$33,Malla!$AA$12,Malla!$R$26:$R$33)</f>
        <v>0</v>
      </c>
      <c r="AQ34" s="196">
        <f>IF(INGRESOS!$J$30&gt;=INGRESOS!$X37,MAX(AQ32:AQ33),0)</f>
        <v>0</v>
      </c>
      <c r="AR34" s="283"/>
      <c r="AS34" s="284"/>
      <c r="AT34" s="195">
        <f>ROUNDUP(IF(AP34&gt;0,E13/AS34,0),0)</f>
        <v>0</v>
      </c>
    </row>
    <row r="35" spans="2:46" s="192" customFormat="1" ht="24" customHeight="1" thickBot="1" x14ac:dyDescent="0.3">
      <c r="B35" s="198" t="str">
        <f t="shared" si="2"/>
        <v>Cuarto</v>
      </c>
      <c r="C35" s="199">
        <f>IF(INGRESOS!$J$10=INGRESOS!$AA$8,0,IF(INGRESOS!$J$10=INGRESOS!$AA$7,0,($AN35+$AO35*2+$AP35)*$AQ35))</f>
        <v>0</v>
      </c>
      <c r="D35" s="200">
        <f>IF(INGRESOS!$J$10=INGRESOS!$AA$8,0,IF(C35=0,0,IF(INGRESOS!$J$10=INGRESOS!$AA$7,0,($AN35+$AO35*2)*$AQ35*$B$28+$AP35*$AR35*$AT35)))</f>
        <v>0</v>
      </c>
      <c r="E35" s="199">
        <f>IF(INGRESOS!$J$10=INGRESOS!$AA$8,0,($AN35+$AO35*2+$AP35)*$AQ35)</f>
        <v>0</v>
      </c>
      <c r="F35" s="200">
        <f>IF(INGRESOS!$J$10=INGRESOS!$AA$8,0,IF(E35=0,0,($AN35+$AO35*2)*$AQ35*$B$28+$AP35*$AR35*$AT35))</f>
        <v>0</v>
      </c>
      <c r="G35" s="199">
        <f>IF(INGRESOS!$J$10=INGRESOS!$AA$8,0,IF(INGRESOS!$J$10=INGRESOS!$AA$7,0,($AN35+$AO35*2+$AP35)*$AQ35))</f>
        <v>0</v>
      </c>
      <c r="H35" s="200">
        <f>IF(INGRESOS!$J$10=INGRESOS!$AA$8,0,IF(G35=0,0,IF(INGRESOS!$J$10=INGRESOS!$AA$7,0,($AN35+$AO35*2)*$AQ35*$B$28+$AP35*$AR35*$AT35)))</f>
        <v>0</v>
      </c>
      <c r="I35" s="201">
        <f>($AF35+$AG35*2+$AH35)*$AI35</f>
        <v>0</v>
      </c>
      <c r="J35" s="202">
        <f>($AF35+$AG35*2)*$AI35*$B$28+$AH35*$AJ35*$AL35</f>
        <v>0</v>
      </c>
      <c r="K35" s="203">
        <f>IF(INGRESOS!$J$10=INGRESOS!$AA$8,0,IF(INGRESOS!$J$10=INGRESOS!$AA$7,0,($AF35+$AG35*2+$AH35)*$AI35))</f>
        <v>0</v>
      </c>
      <c r="L35" s="204">
        <f>IF(INGRESOS!$J$10=INGRESOS!$AA$8,0,IF(INGRESOS!$J$10=INGRESOS!$AA$7,0,($AF35+$AG35*2)*$AI35*$B$28+$AH35*$AJ35*$AL35))</f>
        <v>0</v>
      </c>
      <c r="M35" s="203">
        <f>IF(INGRESOS!$J$10=INGRESOS!$AA$8,0,($AF35+$AG35*2+$AH35)*$AI35)</f>
        <v>0</v>
      </c>
      <c r="N35" s="204">
        <f>IF(INGRESOS!$J$10=INGRESOS!$AA$8,0,($AF35+$AG35*2)*$AI35*$B$28+$AH35*$AJ35*$AL35)</f>
        <v>0</v>
      </c>
      <c r="O35" s="203">
        <f>IF(INGRESOS!$J$10=INGRESOS!$AA$8,0,IF(INGRESOS!$J$10=INGRESOS!$AA$7,0,($AF35+$AG35*2+$AH35)*$AI35))</f>
        <v>0</v>
      </c>
      <c r="P35" s="204">
        <f>IF(INGRESOS!$J$10=INGRESOS!$AA$8,0,IF(INGRESOS!$J$10=INGRESOS!$AA$7,0,($AF35+$AG35*2)*$AI35*$B$28+$AH35*$AJ35*$AL35))</f>
        <v>0</v>
      </c>
      <c r="Q35" s="203">
        <f>IF(INGRESOS!$J$10=INGRESOS!$AA$8,0,($AF35+$AG35*2+$AH35)*$AI35)</f>
        <v>0</v>
      </c>
      <c r="R35" s="204">
        <f>IF(INGRESOS!$J$10=INGRESOS!$AA$8,0,($AF35+$AG35*2)*$AI35*$B$28+$AH35*$AJ35*$AL35)</f>
        <v>0</v>
      </c>
      <c r="S35" s="203">
        <f>IF(INGRESOS!$J$10=INGRESOS!$AA$8,0,IF(INGRESOS!$J$10=INGRESOS!$AA$7,0,($AF35+$AG35*2+$AH35)*$AI35))</f>
        <v>0</v>
      </c>
      <c r="T35" s="204">
        <f>IF(INGRESOS!$J$10=INGRESOS!$AA$8,0,IF(INGRESOS!$J$10=INGRESOS!$AA$7,0,($AF35+$AG35*2)*$AI35*$B$28+$AH35*$AJ35*$AL35))</f>
        <v>0</v>
      </c>
      <c r="U35" s="203">
        <f>IF(INGRESOS!$J$10=INGRESOS!$AA$8,0,($AF35+$AG35*2+$AH35)*$AI35)</f>
        <v>0</v>
      </c>
      <c r="V35" s="204">
        <f>IF(INGRESOS!$J$10=INGRESOS!$AA$8,0,($AF35+$AG35*2)*$AI35*$B$28+$AH35*$AJ35*$AL35)</f>
        <v>0</v>
      </c>
      <c r="W35" s="203">
        <f>IF(INGRESOS!$J$10=INGRESOS!$AA$8,0,IF(INGRESOS!$J$10=INGRESOS!$AA$7,0,($AF35+$AG35*2+$AH35)*$AI35))</f>
        <v>0</v>
      </c>
      <c r="X35" s="204">
        <f>IF(INGRESOS!$J$10=INGRESOS!$AA$8,0,IF(INGRESOS!$J$10=INGRESOS!$AA$7,0,($AF35+$AG35*2)*$AI35*$B$28+$AH35*$AJ35*$AL35))</f>
        <v>0</v>
      </c>
      <c r="Y35" s="203">
        <f>IF(INGRESOS!$J$10=INGRESOS!$AA$8,0,($AF35+$AG35*2+$AH35)*$AI35)</f>
        <v>0</v>
      </c>
      <c r="Z35" s="204">
        <f>IF(INGRESOS!$J$10=INGRESOS!$AA$8,0,($AF35+$AG35*2)*$AI35*$B$28+$AH35*$AJ35*$AL35)</f>
        <v>0</v>
      </c>
      <c r="AA35" s="203">
        <f>IF(INGRESOS!$J$10=INGRESOS!$AA$8,0,IF(INGRESOS!$J$10=INGRESOS!$AA$7,0,($AF35+$AG35*2+$AH35)*$AI35))</f>
        <v>0</v>
      </c>
      <c r="AB35" s="204">
        <f>IF(INGRESOS!$J$10=INGRESOS!$AA$8,0,IF(INGRESOS!$J$10=INGRESOS!$AA$7,0,($AF35+$AG35*2)*$AI35*$B$28+$AH35*$AJ35*$AL35))</f>
        <v>0</v>
      </c>
      <c r="AC35" s="203">
        <f>IF(INGRESOS!$J$10=INGRESOS!$AA$8,0,($AF35+$AG35*2+$AH35)*$AI35)</f>
        <v>0</v>
      </c>
      <c r="AD35" s="204">
        <f>IF(INGRESOS!$J$10=INGRESOS!$AA$8,0,($AF35+$AG35*2)*$AI35*$B$28+$AH35*$AJ35*$AL35)</f>
        <v>0</v>
      </c>
      <c r="AF35" s="205">
        <f>SUM(Malla!$F$34:$F$41)-AH35-AG35</f>
        <v>0</v>
      </c>
      <c r="AG35" s="206">
        <f>SUMIF(Malla!$E$34:$E$41,Malla!$AB$11,Malla!$F$34:$F$41)</f>
        <v>0</v>
      </c>
      <c r="AH35" s="207">
        <f>SUMIF(Malla!$D$34:$D$41,Malla!$AA$12,Malla!$F$34:$F$41)</f>
        <v>0</v>
      </c>
      <c r="AI35" s="208">
        <f>ROUNDUP(IF($F14=0,0,$F14/$AI$29),0)</f>
        <v>0</v>
      </c>
      <c r="AJ35" s="285"/>
      <c r="AK35" s="286"/>
      <c r="AL35" s="207">
        <f>ROUNDUP(IF(AH35&gt;0,F14/AK35,0),0)</f>
        <v>0</v>
      </c>
      <c r="AN35" s="205">
        <f>SUM(Malla!$R$34:$R$41)-AP35-AO35</f>
        <v>0</v>
      </c>
      <c r="AO35" s="206">
        <f>SUMIF(Malla!$Q$34:$Q$41,Malla!$AB$11,Malla!$R$34:$R$41)</f>
        <v>0</v>
      </c>
      <c r="AP35" s="207">
        <f>SUMIF(Malla!$P$34:$P$41,Malla!$AA$12,Malla!$R$34:$R$41)</f>
        <v>0</v>
      </c>
      <c r="AQ35" s="210">
        <f>IF(INGRESOS!$J$30&gt;=INGRESOS!$X38,AQ34,0)</f>
        <v>0</v>
      </c>
      <c r="AR35" s="285"/>
      <c r="AS35" s="286"/>
      <c r="AT35" s="207">
        <f>ROUNDUP(IF(AP35&gt;0,F14/AS35,0),0)</f>
        <v>0</v>
      </c>
    </row>
    <row r="36" spans="2:46" s="192" customFormat="1" ht="24" customHeight="1" x14ac:dyDescent="0.25">
      <c r="B36" s="187" t="str">
        <f t="shared" si="2"/>
        <v>Quinto</v>
      </c>
      <c r="C36" s="190">
        <f>IF(INGRESOS!$J$10=INGRESOS!$AA$8,0,($AN36+$AO36*2+$AP36)*$AQ36)</f>
        <v>0</v>
      </c>
      <c r="D36" s="191">
        <f>IF(INGRESOS!$J$10=INGRESOS!$AA$8,0,IF(C36=0,0,($AN36+$AO36*2)*$AQ36*$B$28+$AP36*$AR36*$AT36))</f>
        <v>0</v>
      </c>
      <c r="E36" s="190">
        <f>IF(INGRESOS!$J$10=INGRESOS!$AA$8,0,IF(INGRESOS!$J$10=INGRESOS!$AA$7,0,($AN36+$AO36*2+$AP36)*$AQ36))</f>
        <v>0</v>
      </c>
      <c r="F36" s="191">
        <f>IF(INGRESOS!$J$10=INGRESOS!$AA$8,0,IF(E36=0,0,($AN36+$AO36*2)*$AQ36*$B$28+$AP36*$AR36*$AT36))</f>
        <v>0</v>
      </c>
      <c r="G36" s="190">
        <f>IF(INGRESOS!$J$10=INGRESOS!$AA$8,0,($AN36+$AO36*2+$AP36)*$AQ36)</f>
        <v>0</v>
      </c>
      <c r="H36" s="191">
        <f>IF(INGRESOS!$J$10=INGRESOS!$AA$8,0,IF(G36=0,0,($AN36+$AO36*2)*$AQ36*$B$28+$AP36*$AR36*$AT36))</f>
        <v>0</v>
      </c>
      <c r="I36" s="190">
        <f>IF(INGRESOS!$J$10=INGRESOS!$AA$8,0,IF(INGRESOS!$J$10=INGRESOS!$AA$7,0,($AN36+$AO36*2+$AP36)*$AQ36))</f>
        <v>0</v>
      </c>
      <c r="J36" s="191">
        <f>IF(INGRESOS!$J$10=INGRESOS!$AA$8,0,IF(I36=0,0,($AN36+$AO36*2)*$AQ36*$B$28+$AP36*$AR36*$AT36))</f>
        <v>0</v>
      </c>
      <c r="K36" s="188">
        <f>($AF36+$AG36*2+$AH36)*$AI36</f>
        <v>0</v>
      </c>
      <c r="L36" s="189">
        <f>($AF36+$AG36*2)*$AI36*$B$28+$AH36*$AJ36*$AL36</f>
        <v>0</v>
      </c>
      <c r="M36" s="190">
        <f>IF(INGRESOS!$J$10=INGRESOS!$AA$8,0,IF(INGRESOS!$J$10=INGRESOS!$AA$7,0,($AF36+$AG36*2+$AH36)*$AI36))</f>
        <v>0</v>
      </c>
      <c r="N36" s="191">
        <f>IF(INGRESOS!$J$10=INGRESOS!$AA$8,0,IF(INGRESOS!$J$10=INGRESOS!$AA$7,0,($AF36+$AG36*2)*$AI36*$B$28+$AH36*$AJ36*$AL36))</f>
        <v>0</v>
      </c>
      <c r="O36" s="190">
        <f>IF(INGRESOS!$J$10=INGRESOS!$AA$8,0,($AF36+$AG36*2+$AH36)*$AI36)</f>
        <v>0</v>
      </c>
      <c r="P36" s="191">
        <f>IF(INGRESOS!$J$10=INGRESOS!$AA$8,0,($AF36+$AG36*2)*$AI36*$B$28+$AH36*$AJ36*$AL36)</f>
        <v>0</v>
      </c>
      <c r="Q36" s="190">
        <f>IF(INGRESOS!$J$10=INGRESOS!$AA$8,0,IF(INGRESOS!$J$10=INGRESOS!$AA$7,0,($AF36+$AG36*2+$AH36)*$AI36))</f>
        <v>0</v>
      </c>
      <c r="R36" s="191">
        <f>IF(INGRESOS!$J$10=INGRESOS!$AA$8,0,IF(INGRESOS!$J$10=INGRESOS!$AA$7,0,($AF36+$AG36*2)*$AI36*$B$28+$AH36*$AJ36*$AL36))</f>
        <v>0</v>
      </c>
      <c r="S36" s="190">
        <f>IF(INGRESOS!$J$10=INGRESOS!$AA$8,0,($AF36+$AG36*2+$AH36)*$AI36)</f>
        <v>0</v>
      </c>
      <c r="T36" s="191">
        <f>IF(INGRESOS!$J$10=INGRESOS!$AA$8,0,($AF36+$AG36*2)*$AI36*$B$28+$AH36*$AJ36*$AL36)</f>
        <v>0</v>
      </c>
      <c r="U36" s="190">
        <f>IF(INGRESOS!$J$10=INGRESOS!$AA$8,0,IF(INGRESOS!$J$10=INGRESOS!$AA$7,0,($AF36+$AG36*2+$AH36)*$AI36))</f>
        <v>0</v>
      </c>
      <c r="V36" s="191">
        <f>IF(INGRESOS!$J$10=INGRESOS!$AA$8,0,IF(INGRESOS!$J$10=INGRESOS!$AA$7,0,($AF36+$AG36*2)*$AI36*$B$28+$AH36*$AJ36*$AL36))</f>
        <v>0</v>
      </c>
      <c r="W36" s="190">
        <f>IF(INGRESOS!$J$10=INGRESOS!$AA$8,0,($AF36+$AG36*2+$AH36)*$AI36)</f>
        <v>0</v>
      </c>
      <c r="X36" s="191">
        <f>IF(INGRESOS!$J$10=INGRESOS!$AA$8,0,($AF36+$AG36*2)*$AI36*$B$28+$AH36*$AJ36*$AL36)</f>
        <v>0</v>
      </c>
      <c r="Y36" s="190">
        <f>IF(INGRESOS!$J$10=INGRESOS!$AA$8,0,IF(INGRESOS!$J$10=INGRESOS!$AA$7,0,($AF36+$AG36*2+$AH36)*$AI36))</f>
        <v>0</v>
      </c>
      <c r="Z36" s="191">
        <f>IF(INGRESOS!$J$10=INGRESOS!$AA$8,0,IF(INGRESOS!$J$10=INGRESOS!$AA$7,0,($AF36+$AG36*2)*$AI36*$B$28+$AH36*$AJ36*$AL36))</f>
        <v>0</v>
      </c>
      <c r="AA36" s="190">
        <f>IF(INGRESOS!$J$10=INGRESOS!$AA$8,0,($AF36+$AG36*2+$AH36)*$AI36)</f>
        <v>0</v>
      </c>
      <c r="AB36" s="191">
        <f>IF(INGRESOS!$J$10=INGRESOS!$AA$8,0,($AF36+$AG36*2)*$AI36*$B$28+$AH36*$AJ36*$AL36)</f>
        <v>0</v>
      </c>
      <c r="AC36" s="190">
        <f>IF(INGRESOS!$J$10=INGRESOS!$AA$8,0,IF(INGRESOS!$J$10=INGRESOS!$AA$7,0,($AF36+$AG36*2+$AH36)*$AI36))</f>
        <v>0</v>
      </c>
      <c r="AD36" s="191">
        <f>IF(INGRESOS!$J$10=INGRESOS!$AA$8,0,IF(INGRESOS!$J$10=INGRESOS!$AA$7,0,($AF36+$AG36*2)*$AI36*$B$28+$AH36*$AJ36*$AL36))</f>
        <v>0</v>
      </c>
      <c r="AF36" s="193">
        <f>SUM(Malla!$F$42:$F$49)-AH36-AG36</f>
        <v>0</v>
      </c>
      <c r="AG36" s="194">
        <f>SUMIF(Malla!$E$42:$E$49,Malla!$AB$11,Malla!$F$42:$F$49)</f>
        <v>0</v>
      </c>
      <c r="AH36" s="195">
        <f>SUMIF(Malla!$D$42:$D$49,Malla!$AA$12,Malla!$F$42:$F$49)</f>
        <v>0</v>
      </c>
      <c r="AI36" s="196">
        <f>ROUNDUP(IF($G15=0,0,$G15/$AI$29),0)</f>
        <v>0</v>
      </c>
      <c r="AJ36" s="279"/>
      <c r="AK36" s="280"/>
      <c r="AL36" s="197">
        <f>ROUNDUP(IF(AH36&gt;0,G15/AK36,0),0)</f>
        <v>0</v>
      </c>
      <c r="AN36" s="193">
        <f>SUM(Malla!$R$42:$R$49)-AP36-AO36</f>
        <v>0</v>
      </c>
      <c r="AO36" s="194">
        <f>SUMIF(Malla!$Q$42:$Q$49,Malla!$AB$11,Malla!$R$42:$R$49)</f>
        <v>0</v>
      </c>
      <c r="AP36" s="195">
        <f>SUMIF(Malla!$P$42:$P$49,Malla!$AA$12,Malla!$R$42:$R$49)</f>
        <v>0</v>
      </c>
      <c r="AQ36" s="196">
        <f>IF(INGRESOS!$J$30&gt;=INGRESOS!$X39,AQ35,0)</f>
        <v>0</v>
      </c>
      <c r="AR36" s="279"/>
      <c r="AS36" s="280"/>
      <c r="AT36" s="197">
        <f>ROUNDUP(IF(AP36&gt;0,G15/AS36,0),0)</f>
        <v>0</v>
      </c>
    </row>
    <row r="37" spans="2:46" s="192" customFormat="1" ht="24" customHeight="1" thickBot="1" x14ac:dyDescent="0.3">
      <c r="B37" s="198" t="str">
        <f t="shared" si="2"/>
        <v>Sexto</v>
      </c>
      <c r="C37" s="199">
        <f>IF(INGRESOS!$J$10=INGRESOS!$AA$8,0,IF(INGRESOS!$J$10=INGRESOS!$AA$7,0,($AN37+$AO37*2+$AP37)*$AQ37))</f>
        <v>0</v>
      </c>
      <c r="D37" s="200">
        <f>IF(INGRESOS!$J$10=INGRESOS!$AA$8,0,IF(C37=0,0,IF(INGRESOS!$J$10=INGRESOS!$AA$7,0,($AN37+$AO37*2)*$AQ37*$B$28+$AP37*$AR37*$AT37)))</f>
        <v>0</v>
      </c>
      <c r="E37" s="199">
        <f>IF(INGRESOS!$J$10=INGRESOS!$AA$8,0,($AN37+$AO37*2+$AP37)*$AQ37)</f>
        <v>0</v>
      </c>
      <c r="F37" s="200">
        <f>IF(INGRESOS!$J$10=INGRESOS!$AA$8,0,IF(E37=0,0,($AN37+$AO37*2)*$AQ37*$B$28+$AP37*$AR37*$AT37))</f>
        <v>0</v>
      </c>
      <c r="G37" s="199">
        <f>IF(INGRESOS!$J$10=INGRESOS!$AA$8,0,IF(INGRESOS!$J$10=INGRESOS!$AA$7,0,($AN37+$AO37*2+$AP37)*$AQ37))</f>
        <v>0</v>
      </c>
      <c r="H37" s="200">
        <f>IF(INGRESOS!$J$10=INGRESOS!$AA$8,0,IF(G37=0,0,IF(INGRESOS!$J$10=INGRESOS!$AA$7,0,($AN37+$AO37*2)*$AQ37*$B$28+$AP37*$AR37*$AT37)))</f>
        <v>0</v>
      </c>
      <c r="I37" s="199">
        <f>IF(INGRESOS!$J$10=INGRESOS!$AA$8,0,($AN37+$AO37*2+$AP37)*$AQ37)</f>
        <v>0</v>
      </c>
      <c r="J37" s="200">
        <f>IF(INGRESOS!$J$10=INGRESOS!$AA$8,0,IF(I37=0,0,($AN37+$AO37*2)*$AQ37*$B$28+$AP37*$AR37*$AT37))</f>
        <v>0</v>
      </c>
      <c r="K37" s="199">
        <f>IF(INGRESOS!$J$10=INGRESOS!$AA$8,0,IF(INGRESOS!$J$10=INGRESOS!$AA$7,0,($AN37+$AO37*2+$AP37)*$AQ37))</f>
        <v>0</v>
      </c>
      <c r="L37" s="200">
        <f>IF(INGRESOS!$J$10=INGRESOS!$AA$8,0,IF(K37=0,0,IF(INGRESOS!$J$10=INGRESOS!$AA$7,0,($AN37+$AO37*2)*$AQ37*$B$28+$AP37*$AR37*$AT37)))</f>
        <v>0</v>
      </c>
      <c r="M37" s="201">
        <f t="shared" ref="M37" si="3">($AF37+$AG37*2+$AH37)*$AI37</f>
        <v>0</v>
      </c>
      <c r="N37" s="202">
        <f t="shared" ref="N37" si="4">($AF37+$AG37*2)*$AI37*$B$28+$AH37*$AJ37*$AL37</f>
        <v>0</v>
      </c>
      <c r="O37" s="203">
        <f>IF(INGRESOS!$J$10=INGRESOS!$AA$8,0,IF(INGRESOS!$J$10=INGRESOS!$AA$7,0,($AF37+$AG37*2+$AH37)*$AI37))</f>
        <v>0</v>
      </c>
      <c r="P37" s="204">
        <f>IF(INGRESOS!$J$10=INGRESOS!$AA$8,0,IF(INGRESOS!$J$10=INGRESOS!$AA$7,0,($AF37+$AG37*2)*$AI37*$B$28+$AH37*$AJ37*$AL37))</f>
        <v>0</v>
      </c>
      <c r="Q37" s="203">
        <f>IF(INGRESOS!$J$10=INGRESOS!$AA$8,0,($AF37+$AG37*2+$AH37)*$AI37)</f>
        <v>0</v>
      </c>
      <c r="R37" s="204">
        <f>IF(INGRESOS!$J$10=INGRESOS!$AA$8,0,($AF37+$AG37*2)*$AI37*$B$28+$AH37*$AJ37*$AL37)</f>
        <v>0</v>
      </c>
      <c r="S37" s="203">
        <f>IF(INGRESOS!$J$10=INGRESOS!$AA$8,0,IF(INGRESOS!$J$10=INGRESOS!$AA$7,0,($AF37+$AG37*2+$AH37)*$AI37))</f>
        <v>0</v>
      </c>
      <c r="T37" s="204">
        <f>IF(INGRESOS!$J$10=INGRESOS!$AA$8,0,IF(INGRESOS!$J$10=INGRESOS!$AA$7,0,($AF37+$AG37*2)*$AI37*$B$28+$AH37*$AJ37*$AL37))</f>
        <v>0</v>
      </c>
      <c r="U37" s="203">
        <f>IF(INGRESOS!$J$10=INGRESOS!$AA$8,0,($AF37+$AG37*2+$AH37)*$AI37)</f>
        <v>0</v>
      </c>
      <c r="V37" s="204">
        <f>IF(INGRESOS!$J$10=INGRESOS!$AA$8,0,($AF37+$AG37*2)*$AI37*$B$28+$AH37*$AJ37*$AL37)</f>
        <v>0</v>
      </c>
      <c r="W37" s="203">
        <f>IF(INGRESOS!$J$10=INGRESOS!$AA$8,0,IF(INGRESOS!$J$10=INGRESOS!$AA$7,0,($AF37+$AG37*2+$AH37)*$AI37))</f>
        <v>0</v>
      </c>
      <c r="X37" s="204">
        <f>IF(INGRESOS!$J$10=INGRESOS!$AA$8,0,IF(INGRESOS!$J$10=INGRESOS!$AA$7,0,($AF37+$AG37*2)*$AI37*$B$28+$AH37*$AJ37*$AL37))</f>
        <v>0</v>
      </c>
      <c r="Y37" s="203">
        <f>IF(INGRESOS!$J$10=INGRESOS!$AA$8,0,($AF37+$AG37*2+$AH37)*$AI37)</f>
        <v>0</v>
      </c>
      <c r="Z37" s="204">
        <f>IF(INGRESOS!$J$10=INGRESOS!$AA$8,0,($AF37+$AG37*2)*$AI37*$B$28+$AH37*$AJ37*$AL37)</f>
        <v>0</v>
      </c>
      <c r="AA37" s="203">
        <f>IF(INGRESOS!$J$10=INGRESOS!$AA$8,0,IF(INGRESOS!$J$10=INGRESOS!$AA$7,0,($AF37+$AG37*2+$AH37)*$AI37))</f>
        <v>0</v>
      </c>
      <c r="AB37" s="204">
        <f>IF(INGRESOS!$J$10=INGRESOS!$AA$8,0,IF(INGRESOS!$J$10=INGRESOS!$AA$7,0,($AF37+$AG37*2)*$AI37*$B$28+$AH37*$AJ37*$AL37))</f>
        <v>0</v>
      </c>
      <c r="AC37" s="203">
        <f>IF(INGRESOS!$J$10=INGRESOS!$AA$8,0,($AF37+$AG37*2+$AH37)*$AI37)</f>
        <v>0</v>
      </c>
      <c r="AD37" s="204">
        <f>IF(INGRESOS!$J$10=INGRESOS!$AA$8,0,($AF37+$AG37*2)*$AI37*$B$28+$AH37*$AJ37*$AL37)</f>
        <v>0</v>
      </c>
      <c r="AF37" s="205">
        <f>SUM(Malla!$F$50:$F$57)-AH37-AG37</f>
        <v>0</v>
      </c>
      <c r="AG37" s="206">
        <f>SUMIF(Malla!$E$50:$E$57,Malla!$AB$11,Malla!$F$50:$F$57)</f>
        <v>0</v>
      </c>
      <c r="AH37" s="207">
        <f>SUMIF(Malla!$D$50:$D$57,Malla!$AA$12,Malla!$F$50:$F$57)</f>
        <v>0</v>
      </c>
      <c r="AI37" s="208">
        <f>ROUNDUP(IF($H16=0,0,$H16/$AI$29),0)</f>
        <v>0</v>
      </c>
      <c r="AJ37" s="287"/>
      <c r="AK37" s="288"/>
      <c r="AL37" s="209">
        <f>ROUNDUP(IF(AH37&gt;0,H16/AK37,0),0)</f>
        <v>0</v>
      </c>
      <c r="AN37" s="205">
        <f>SUM(Malla!$R$50:$R$57)-AP37-AO37</f>
        <v>0</v>
      </c>
      <c r="AO37" s="206">
        <f>SUMIF(Malla!$Q$50:$Q$57,Malla!$AB$11,Malla!$R$50:$R$57)</f>
        <v>0</v>
      </c>
      <c r="AP37" s="207">
        <f>SUMIF(Malla!$P$50:$P$57,Malla!$AA$12,Malla!$R$50:$R$57)</f>
        <v>0</v>
      </c>
      <c r="AQ37" s="210">
        <f>IF(INGRESOS!$J$30&gt;=INGRESOS!$X40,AQ36,0)</f>
        <v>0</v>
      </c>
      <c r="AR37" s="287"/>
      <c r="AS37" s="288"/>
      <c r="AT37" s="209">
        <f>ROUNDUP(IF(AP37&gt;0,H16/AS37,0),0)</f>
        <v>0</v>
      </c>
    </row>
    <row r="38" spans="2:46" s="192" customFormat="1" ht="24" customHeight="1" x14ac:dyDescent="0.25">
      <c r="B38" s="187" t="str">
        <f t="shared" si="2"/>
        <v>Septimo</v>
      </c>
      <c r="C38" s="190">
        <f>IF(INGRESOS!$J$10=INGRESOS!$AA$8,0,($AN38+$AO38*2+$AP38)*$AQ38)</f>
        <v>0</v>
      </c>
      <c r="D38" s="191">
        <f>IF(INGRESOS!$J$10=INGRESOS!$AA$8,0,IF(C38=0,0,($AN38+$AO38*2)*$AQ38*$B$28+$AP38*$AR38*$AT38))</f>
        <v>0</v>
      </c>
      <c r="E38" s="190">
        <f>IF(INGRESOS!$J$10=INGRESOS!$AA$8,0,IF(INGRESOS!$J$10=INGRESOS!$AA$7,0,($AN38+$AO38*2+$AP38)*$AQ38))</f>
        <v>0</v>
      </c>
      <c r="F38" s="191">
        <f>IF(INGRESOS!$J$10=INGRESOS!$AA$8,0,IF(E38=0,0,($AN38+$AO38*2)*$AQ38*$B$28+$AP38*$AR38*$AT38))</f>
        <v>0</v>
      </c>
      <c r="G38" s="190">
        <f>IF(INGRESOS!$J$10=INGRESOS!$AA$8,0,($AN38+$AO38*2+$AP38)*$AQ38)</f>
        <v>0</v>
      </c>
      <c r="H38" s="191">
        <f>IF(INGRESOS!$J$10=INGRESOS!$AA$8,0,IF(G38=0,0,($AN38+$AO38*2)*$AQ38*$B$28+$AP38*$AR38*$AT38))</f>
        <v>0</v>
      </c>
      <c r="I38" s="190">
        <f>IF(INGRESOS!$J$10=INGRESOS!$AA$8,0,IF(INGRESOS!$J$10=INGRESOS!$AA$7,0,($AN38+$AO38*2+$AP38)*$AQ38))</f>
        <v>0</v>
      </c>
      <c r="J38" s="191">
        <f>IF(INGRESOS!$J$10=INGRESOS!$AA$8,0,IF(I38=0,0,($AN38+$AO38*2)*$AQ38*$B$28+$AP38*$AR38*$AT38))</f>
        <v>0</v>
      </c>
      <c r="K38" s="190">
        <f>IF(INGRESOS!$J$10=INGRESOS!$AA$8,0,($AN38+$AO38*2+$AP38)*$AQ38)</f>
        <v>0</v>
      </c>
      <c r="L38" s="191">
        <f>IF(INGRESOS!$J$10=INGRESOS!$AA$8,0,IF(K38=0,0,($AN38+$AO38*2)*$AQ38*$B$28+$AP38*$AR38*$AT38))</f>
        <v>0</v>
      </c>
      <c r="M38" s="190">
        <f>IF(INGRESOS!$J$10=INGRESOS!$AA$8,0,IF(INGRESOS!$J$10=INGRESOS!$AA$7,0,($AN38+$AO38*2+$AP38)*$AQ38))</f>
        <v>0</v>
      </c>
      <c r="N38" s="191">
        <f>IF(INGRESOS!$J$10=INGRESOS!$AA$8,0,IF(M38=0,0,($AN38+$AO38*2)*$AQ38*$B$28+$AP38*$AR38*$AT38))</f>
        <v>0</v>
      </c>
      <c r="O38" s="188">
        <f t="shared" ref="O38" si="5">($AF38+$AG38*2+$AH38)*$AI38</f>
        <v>0</v>
      </c>
      <c r="P38" s="189">
        <f t="shared" ref="P38" si="6">($AF38+$AG38*2)*$AI38*$B$28+$AH38*$AJ38*$AL38</f>
        <v>0</v>
      </c>
      <c r="Q38" s="190">
        <f>IF(INGRESOS!$J$10=INGRESOS!$AA$8,0,IF(INGRESOS!$J$10=INGRESOS!$AA$7,0,($AF38+$AG38*2+$AH38)*$AI38))</f>
        <v>0</v>
      </c>
      <c r="R38" s="191">
        <f>IF(INGRESOS!$J$10=INGRESOS!$AA$8,0,IF(INGRESOS!$J$10=INGRESOS!$AA$7,0,($AF38+$AG38*2)*$AI38*$B$28+$AH38*$AJ38*$AL38))</f>
        <v>0</v>
      </c>
      <c r="S38" s="190">
        <f>IF(INGRESOS!$J$10=INGRESOS!$AA$8,0,($AF38+$AG38*2+$AH38)*$AI38)</f>
        <v>0</v>
      </c>
      <c r="T38" s="191">
        <f>IF(INGRESOS!$J$10=INGRESOS!$AA$8,0,($AF38+$AG38*2)*$AI38*$B$28+$AH38*$AJ38*$AL38)</f>
        <v>0</v>
      </c>
      <c r="U38" s="190">
        <f>IF(INGRESOS!$J$10=INGRESOS!$AA$8,0,IF(INGRESOS!$J$10=INGRESOS!$AA$7,0,($AF38+$AG38*2+$AH38)*$AI38))</f>
        <v>0</v>
      </c>
      <c r="V38" s="191">
        <f>IF(INGRESOS!$J$10=INGRESOS!$AA$8,0,IF(INGRESOS!$J$10=INGRESOS!$AA$7,0,($AF38+$AG38*2)*$AI38*$B$28+$AH38*$AJ38*$AL38))</f>
        <v>0</v>
      </c>
      <c r="W38" s="190">
        <f>IF(INGRESOS!$J$10=INGRESOS!$AA$8,0,($AF38+$AG38*2+$AH38)*$AI38)</f>
        <v>0</v>
      </c>
      <c r="X38" s="191">
        <f>IF(INGRESOS!$J$10=INGRESOS!$AA$8,0,($AF38+$AG38*2)*$AI38*$B$28+$AH38*$AJ38*$AL38)</f>
        <v>0</v>
      </c>
      <c r="Y38" s="190">
        <f>IF(INGRESOS!$J$10=INGRESOS!$AA$8,0,IF(INGRESOS!$J$10=INGRESOS!$AA$7,0,($AF38+$AG38*2+$AH38)*$AI38))</f>
        <v>0</v>
      </c>
      <c r="Z38" s="191">
        <f>IF(INGRESOS!$J$10=INGRESOS!$AA$8,0,IF(INGRESOS!$J$10=INGRESOS!$AA$7,0,($AF38+$AG38*2)*$AI38*$B$28+$AH38*$AJ38*$AL38))</f>
        <v>0</v>
      </c>
      <c r="AA38" s="190">
        <f>IF(INGRESOS!$J$10=INGRESOS!$AA$8,0,($AF38+$AG38*2+$AH38)*$AI38)</f>
        <v>0</v>
      </c>
      <c r="AB38" s="191">
        <f>IF(INGRESOS!$J$10=INGRESOS!$AA$8,0,($AF38+$AG38*2)*$AI38*$B$28+$AH38*$AJ38*$AL38)</f>
        <v>0</v>
      </c>
      <c r="AC38" s="190">
        <f>IF(INGRESOS!$J$10=INGRESOS!$AA$8,0,IF(INGRESOS!$J$10=INGRESOS!$AA$7,0,($AF38+$AG38*2+$AH38)*$AI38))</f>
        <v>0</v>
      </c>
      <c r="AD38" s="191">
        <f>IF(INGRESOS!$J$10=INGRESOS!$AA$8,0,IF(INGRESOS!$J$10=INGRESOS!$AA$7,0,($AF38+$AG38*2)*$AI38*$B$28+$AH38*$AJ38*$AL38))</f>
        <v>0</v>
      </c>
      <c r="AF38" s="193">
        <f>SUM(Malla!$F$58:$F$65)-AH38-AG38</f>
        <v>0</v>
      </c>
      <c r="AG38" s="194">
        <f>SUMIF(Malla!$E$58:$E$65,Malla!$AB$11,Malla!$F$58:$F$65)</f>
        <v>0</v>
      </c>
      <c r="AH38" s="195">
        <f>SUMIF(Malla!$D$58:$D$65,Malla!$AA$12,Malla!$F$58:$F$65)</f>
        <v>0</v>
      </c>
      <c r="AI38" s="196">
        <f>ROUNDUP(IF($I17=0,0,$I17/$AI$29),0)</f>
        <v>0</v>
      </c>
      <c r="AJ38" s="283"/>
      <c r="AK38" s="284"/>
      <c r="AL38" s="195">
        <f>ROUNDUP(IF(AH38&gt;0,I17/AK38,0),0)</f>
        <v>0</v>
      </c>
      <c r="AN38" s="193">
        <f>SUM(Malla!$R$58:$R$65)-AP38-AO38</f>
        <v>0</v>
      </c>
      <c r="AO38" s="194">
        <f>SUMIF(Malla!$Q$58:$Q$65,Malla!$AB$11,Malla!$R$58:$R$65)</f>
        <v>0</v>
      </c>
      <c r="AP38" s="195">
        <f>SUMIF(Malla!$P$58:$P$65,Malla!$AA$12,Malla!$R$58:$R$65)</f>
        <v>0</v>
      </c>
      <c r="AQ38" s="196">
        <f>IF(INGRESOS!$J$30&gt;=INGRESOS!$X41,AQ37,0)</f>
        <v>0</v>
      </c>
      <c r="AR38" s="283"/>
      <c r="AS38" s="284"/>
      <c r="AT38" s="195">
        <f>ROUNDUP(IF(AP38&gt;0,I17/AS38,0),0)</f>
        <v>0</v>
      </c>
    </row>
    <row r="39" spans="2:46" s="192" customFormat="1" ht="24" customHeight="1" thickBot="1" x14ac:dyDescent="0.3">
      <c r="B39" s="198" t="str">
        <f t="shared" si="2"/>
        <v>Octavo</v>
      </c>
      <c r="C39" s="199">
        <f>IF(INGRESOS!$J$10=INGRESOS!$AA$8,0,IF(INGRESOS!$J$10=INGRESOS!$AA$7,0,($AN39+$AO39*2+$AP39)*$AQ39))</f>
        <v>0</v>
      </c>
      <c r="D39" s="200">
        <f>IF(INGRESOS!$J$10=INGRESOS!$AA$8,0,IF(C39=0,0,IF(INGRESOS!$J$10=INGRESOS!$AA$7,0,($AN39+$AO39*2)*$AQ39*$B$28+$AP39*$AR39*$AT39)))</f>
        <v>0</v>
      </c>
      <c r="E39" s="199">
        <f>IF(INGRESOS!$J$10=INGRESOS!$AA$8,0,($AN39+$AO39*2+$AP39)*$AQ39)</f>
        <v>0</v>
      </c>
      <c r="F39" s="200">
        <f>IF(INGRESOS!$J$10=INGRESOS!$AA$8,0,IF(E39=0,0,($AN39+$AO39*2)*$AQ39*$B$28+$AP39*$AR39*$AT39))</f>
        <v>0</v>
      </c>
      <c r="G39" s="199">
        <f>IF(INGRESOS!$J$10=INGRESOS!$AA$8,0,IF(INGRESOS!$J$10=INGRESOS!$AA$7,0,($AN39+$AO39*2+$AP39)*$AQ39))</f>
        <v>0</v>
      </c>
      <c r="H39" s="200">
        <f>IF(INGRESOS!$J$10=INGRESOS!$AA$8,0,IF(G39=0,0,IF(INGRESOS!$J$10=INGRESOS!$AA$7,0,($AN39+$AO39*2)*$AQ39*$B$28+$AP39*$AR39*$AT39)))</f>
        <v>0</v>
      </c>
      <c r="I39" s="199">
        <f>IF(INGRESOS!$J$10=INGRESOS!$AA$8,0,($AN39+$AO39*2+$AP39)*$AQ39)</f>
        <v>0</v>
      </c>
      <c r="J39" s="200">
        <f>IF(INGRESOS!$J$10=INGRESOS!$AA$8,0,IF(I39=0,0,($AN39+$AO39*2)*$AQ39*$B$28+$AP39*$AR39*$AT39))</f>
        <v>0</v>
      </c>
      <c r="K39" s="199">
        <f>IF(INGRESOS!$J$10=INGRESOS!$AA$8,0,IF(INGRESOS!$J$10=INGRESOS!$AA$7,0,($AN39+$AO39*2+$AP39)*$AQ39))</f>
        <v>0</v>
      </c>
      <c r="L39" s="200">
        <f>IF(INGRESOS!$J$10=INGRESOS!$AA$8,0,IF(K39=0,0,IF(INGRESOS!$J$10=INGRESOS!$AA$7,0,($AN39+$AO39*2)*$AQ39*$B$28+$AP39*$AR39*$AT39)))</f>
        <v>0</v>
      </c>
      <c r="M39" s="199">
        <f>IF(INGRESOS!$J$10=INGRESOS!$AA$8,0,($AN39+$AO39*2+$AP39)*$AQ39)</f>
        <v>0</v>
      </c>
      <c r="N39" s="200">
        <f>IF(INGRESOS!$J$10=INGRESOS!$AA$8,0,IF(M39=0,0,($AN39+$AO39*2)*$AQ39*$B$28+$AP39*$AR39*$AT39))</f>
        <v>0</v>
      </c>
      <c r="O39" s="199">
        <f>IF(INGRESOS!$J$10=INGRESOS!$AA$8,0,IF(INGRESOS!$J$10=INGRESOS!$AA$7,0,($AN39+$AO39*2+$AP39)*$AQ39))</f>
        <v>0</v>
      </c>
      <c r="P39" s="200">
        <f>IF(INGRESOS!$J$10=INGRESOS!$AA$8,0,IF(O39=0,0,IF(INGRESOS!$J$10=INGRESOS!$AA$7,0,($AN39+$AO39*2)*$AQ39*$B$28+$AP39*$AR39*$AT39)))</f>
        <v>0</v>
      </c>
      <c r="Q39" s="201">
        <f t="shared" ref="Q39" si="7">($AF39+$AG39*2+$AH39)*$AI39</f>
        <v>0</v>
      </c>
      <c r="R39" s="202">
        <f t="shared" ref="R39" si="8">($AF39+$AG39*2)*$AI39*$B$28+$AH39*$AJ39*$AL39</f>
        <v>0</v>
      </c>
      <c r="S39" s="203">
        <f>IF(INGRESOS!$J$10=INGRESOS!$AA$8,0,IF(INGRESOS!$J$10=INGRESOS!$AA$7,0,($AF39+$AG39*2+$AH39)*$AI39))</f>
        <v>0</v>
      </c>
      <c r="T39" s="204">
        <f>IF(INGRESOS!$J$10=INGRESOS!$AA$8,0,IF(INGRESOS!$J$10=INGRESOS!$AA$7,0,($AF39+$AG39*2)*$AI39*$B$28+$AH39*$AJ39*$AL39))</f>
        <v>0</v>
      </c>
      <c r="U39" s="203">
        <f>IF(INGRESOS!$J$10=INGRESOS!$AA$8,0,($AF39+$AG39*2+$AH39)*$AI39)</f>
        <v>0</v>
      </c>
      <c r="V39" s="204">
        <f>IF(INGRESOS!$J$10=INGRESOS!$AA$8,0,($AF39+$AG39*2)*$AI39*$B$28+$AH39*$AJ39*$AL39)</f>
        <v>0</v>
      </c>
      <c r="W39" s="203">
        <f>IF(INGRESOS!$J$10=INGRESOS!$AA$8,0,IF(INGRESOS!$J$10=INGRESOS!$AA$7,0,($AF39+$AG39*2+$AH39)*$AI39))</f>
        <v>0</v>
      </c>
      <c r="X39" s="204">
        <f>IF(INGRESOS!$J$10=INGRESOS!$AA$8,0,IF(INGRESOS!$J$10=INGRESOS!$AA$7,0,($AF39+$AG39*2)*$AI39*$B$28+$AH39*$AJ39*$AL39))</f>
        <v>0</v>
      </c>
      <c r="Y39" s="203">
        <f>IF(INGRESOS!$J$10=INGRESOS!$AA$8,0,($AF39+$AG39*2+$AH39)*$AI39)</f>
        <v>0</v>
      </c>
      <c r="Z39" s="204">
        <f>IF(INGRESOS!$J$10=INGRESOS!$AA$8,0,($AF39+$AG39*2)*$AI39*$B$28+$AH39*$AJ39*$AL39)</f>
        <v>0</v>
      </c>
      <c r="AA39" s="203">
        <f>IF(INGRESOS!$J$10=INGRESOS!$AA$8,0,IF(INGRESOS!$J$10=INGRESOS!$AA$7,0,($AF39+$AG39*2+$AH39)*$AI39))</f>
        <v>0</v>
      </c>
      <c r="AB39" s="204">
        <f>IF(INGRESOS!$J$10=INGRESOS!$AA$8,0,IF(INGRESOS!$J$10=INGRESOS!$AA$7,0,($AF39+$AG39*2)*$AI39*$B$28+$AH39*$AJ39*$AL39))</f>
        <v>0</v>
      </c>
      <c r="AC39" s="203">
        <f>IF(INGRESOS!$J$10=INGRESOS!$AA$8,0,($AF39+$AG39*2+$AH39)*$AI39)</f>
        <v>0</v>
      </c>
      <c r="AD39" s="204">
        <f>IF(INGRESOS!$J$10=INGRESOS!$AA$8,0,($AF39+$AG39*2)*$AI39*$B$28+$AH39*$AJ39*$AL39)</f>
        <v>0</v>
      </c>
      <c r="AF39" s="205">
        <f>SUM(Malla!$F$66:$F$73)-AH39-AG39</f>
        <v>0</v>
      </c>
      <c r="AG39" s="206">
        <f>SUMIF(Malla!$E$66:$E$73,Malla!$AB$11,Malla!$F$66:$F$73)</f>
        <v>0</v>
      </c>
      <c r="AH39" s="207">
        <f>SUMIF(Malla!$D$66:$D$73,Malla!$AA$12,Malla!$F$66:$F$73)</f>
        <v>0</v>
      </c>
      <c r="AI39" s="208">
        <f>ROUNDUP(IF($J18=0,0,$J18/$AI$29),0)</f>
        <v>0</v>
      </c>
      <c r="AJ39" s="289"/>
      <c r="AK39" s="290"/>
      <c r="AL39" s="207">
        <f>ROUNDUP(IF(AH39&gt;0,J18/AK39,0),0)</f>
        <v>0</v>
      </c>
      <c r="AN39" s="205">
        <f>SUM(Malla!$R$66:$R$73)-AP39-AO39</f>
        <v>0</v>
      </c>
      <c r="AO39" s="206">
        <f>SUMIF(Malla!$Q$66:$Q$73,Malla!$AB$11,Malla!$R$66:$R$73)</f>
        <v>0</v>
      </c>
      <c r="AP39" s="207">
        <f>SUMIF(Malla!$P$66:$P$73,Malla!$AA$12,Malla!$R$66:$R$73)</f>
        <v>0</v>
      </c>
      <c r="AQ39" s="210">
        <f>IF(INGRESOS!$J$30&gt;=INGRESOS!$X42,AQ38,0)</f>
        <v>0</v>
      </c>
      <c r="AR39" s="289"/>
      <c r="AS39" s="290"/>
      <c r="AT39" s="207">
        <f>ROUNDUP(IF(AP39&gt;0,J18/AS39,0),0)</f>
        <v>0</v>
      </c>
    </row>
    <row r="40" spans="2:46" s="192" customFormat="1" ht="24" customHeight="1" x14ac:dyDescent="0.25">
      <c r="B40" s="211" t="str">
        <f t="shared" si="2"/>
        <v>Noveno</v>
      </c>
      <c r="C40" s="190">
        <f>IF(INGRESOS!$J$10=INGRESOS!$AA$8,0,($AN40+$AO40*2+$AP40)*$AQ40)</f>
        <v>0</v>
      </c>
      <c r="D40" s="191">
        <f>IF(INGRESOS!$J$10=INGRESOS!$AA$8,0,IF(C40=0,0,($AN40+$AO40*2)*$AQ40*$B$28+$AP40*$AR40*$AT40))</f>
        <v>0</v>
      </c>
      <c r="E40" s="190">
        <f>IF(INGRESOS!$J$10=INGRESOS!$AA$8,0,IF(INGRESOS!$J$10=INGRESOS!$AA$7,0,($AN40+$AO40*2+$AP40)*$AQ40))</f>
        <v>0</v>
      </c>
      <c r="F40" s="191">
        <f>IF(INGRESOS!$J$10=INGRESOS!$AA$8,0,IF(E40=0,0,($AN40+$AO40*2)*$AQ40*$B$28+$AP40*$AR40*$AT40))</f>
        <v>0</v>
      </c>
      <c r="G40" s="190">
        <f>IF(INGRESOS!$J$10=INGRESOS!$AA$8,0,($AN40+$AO40*2+$AP40)*$AQ40)</f>
        <v>0</v>
      </c>
      <c r="H40" s="191">
        <f>IF(INGRESOS!$J$10=INGRESOS!$AA$8,0,IF(G40=0,0,($AN40+$AO40*2)*$AQ40*$B$28+$AP40*$AR40*$AT40))</f>
        <v>0</v>
      </c>
      <c r="I40" s="190">
        <f>IF(INGRESOS!$J$10=INGRESOS!$AA$8,0,IF(INGRESOS!$J$10=INGRESOS!$AA$7,0,($AN40+$AO40*2+$AP40)*$AQ40))</f>
        <v>0</v>
      </c>
      <c r="J40" s="191">
        <f>IF(INGRESOS!$J$10=INGRESOS!$AA$8,0,IF(I40=0,0,($AN40+$AO40*2)*$AQ40*$B$28+$AP40*$AR40*$AT40))</f>
        <v>0</v>
      </c>
      <c r="K40" s="190">
        <f>IF(INGRESOS!$J$10=INGRESOS!$AA$8,0,($AN40+$AO40*2+$AP40)*$AQ40)</f>
        <v>0</v>
      </c>
      <c r="L40" s="191">
        <f>IF(INGRESOS!$J$10=INGRESOS!$AA$8,0,IF(K40=0,0,($AN40+$AO40*2)*$AQ40*$B$28+$AP40*$AR40*$AT40))</f>
        <v>0</v>
      </c>
      <c r="M40" s="190">
        <f>IF(INGRESOS!$J$10=INGRESOS!$AA$8,0,IF(INGRESOS!$J$10=INGRESOS!$AA$7,0,($AN40+$AO40*2+$AP40)*$AQ40))</f>
        <v>0</v>
      </c>
      <c r="N40" s="191">
        <f>IF(INGRESOS!$J$10=INGRESOS!$AA$8,0,IF(M40=0,0,($AN40+$AO40*2)*$AQ40*$B$28+$AP40*$AR40*$AT40))</f>
        <v>0</v>
      </c>
      <c r="O40" s="190">
        <f>IF(INGRESOS!$J$10=INGRESOS!$AA$8,0,($AN40+$AO40*2+$AP40)*$AQ40)</f>
        <v>0</v>
      </c>
      <c r="P40" s="191">
        <f>IF(INGRESOS!$J$10=INGRESOS!$AA$8,0,IF(O40=0,0,($AN40+$AO40*2)*$AQ40*$B$28+$AP40*$AR40*$AT40))</f>
        <v>0</v>
      </c>
      <c r="Q40" s="190">
        <f>IF(INGRESOS!$J$10=INGRESOS!$AA$8,0,IF(INGRESOS!$J$10=INGRESOS!$AA$7,0,($AN40+$AO40*2+$AP40)*$AQ40))</f>
        <v>0</v>
      </c>
      <c r="R40" s="191">
        <f>IF(INGRESOS!$J$10=INGRESOS!$AA$8,0,IF(Q40=0,0,($AN40+$AO40*2)*$AQ40*$B$28+$AP40*$AR40*$AT40))</f>
        <v>0</v>
      </c>
      <c r="S40" s="188">
        <f t="shared" ref="S40" si="9">($AF40+$AG40*2+$AH40)*$AI40</f>
        <v>0</v>
      </c>
      <c r="T40" s="189">
        <f t="shared" ref="T40" si="10">($AF40+$AG40*2)*$AI40*$B$28+$AH40*$AJ40*$AL40</f>
        <v>0</v>
      </c>
      <c r="U40" s="190">
        <f>IF(INGRESOS!$J$10=INGRESOS!$AA$8,0,IF(INGRESOS!$J$10=INGRESOS!$AA$7,0,($AF40+$AG40*2+$AH40)*$AI40))</f>
        <v>0</v>
      </c>
      <c r="V40" s="191">
        <f>IF(INGRESOS!$J$10=INGRESOS!$AA$8,0,IF(INGRESOS!$J$10=INGRESOS!$AA$7,0,($AF40+$AG40*2)*$AI40*$B$28+$AH40*$AJ40*$AL40))</f>
        <v>0</v>
      </c>
      <c r="W40" s="190">
        <f>IF(INGRESOS!$J$10=INGRESOS!$AA$8,0,($AF40+$AG40*2+$AH40)*$AI40)</f>
        <v>0</v>
      </c>
      <c r="X40" s="191">
        <f>IF(INGRESOS!$J$10=INGRESOS!$AA$8,0,($AF40+$AG40*2)*$AI40*$B$28+$AH40*$AJ40*$AL40)</f>
        <v>0</v>
      </c>
      <c r="Y40" s="190">
        <f>IF(INGRESOS!$J$10=INGRESOS!$AA$8,0,IF(INGRESOS!$J$10=INGRESOS!$AA$7,0,($AF40+$AG40*2+$AH40)*$AI40))</f>
        <v>0</v>
      </c>
      <c r="Z40" s="191">
        <f>IF(INGRESOS!$J$10=INGRESOS!$AA$8,0,IF(INGRESOS!$J$10=INGRESOS!$AA$7,0,($AF40+$AG40*2)*$AI40*$B$28+$AH40*$AJ40*$AL40))</f>
        <v>0</v>
      </c>
      <c r="AA40" s="190">
        <f>IF(INGRESOS!$J$10=INGRESOS!$AA$8,0,($AF40+$AG40*2+$AH40)*$AI40)</f>
        <v>0</v>
      </c>
      <c r="AB40" s="191">
        <f>IF(INGRESOS!$J$10=INGRESOS!$AA$8,0,($AF40+$AG40*2)*$AI40*$B$28+$AH40*$AJ40*$AL40)</f>
        <v>0</v>
      </c>
      <c r="AC40" s="190">
        <f>IF(INGRESOS!$J$10=INGRESOS!$AA$8,0,IF(INGRESOS!$J$10=INGRESOS!$AA$7,0,($AF40+$AG40*2+$AH40)*$AI40))</f>
        <v>0</v>
      </c>
      <c r="AD40" s="191">
        <f>IF(INGRESOS!$J$10=INGRESOS!$AA$8,0,IF(INGRESOS!$J$10=INGRESOS!$AA$7,0,($AF40+$AG40*2)*$AI40*$B$28+$AH40*$AJ40*$AL40))</f>
        <v>0</v>
      </c>
      <c r="AF40" s="193">
        <f>SUM(Malla!$F$74:$F$81)-AH40-AG40</f>
        <v>0</v>
      </c>
      <c r="AG40" s="194">
        <f>SUMIF(Malla!$E$74:$E$81,Malla!$AB$11,Malla!$F$74:$F$81)</f>
        <v>0</v>
      </c>
      <c r="AH40" s="195">
        <f>SUMIF(Malla!$D$74:$D$81,Malla!$AA$12,Malla!$F$74:$F$81)</f>
        <v>0</v>
      </c>
      <c r="AI40" s="196">
        <f>ROUNDUP(IF($K19=0,0,$K19/$AI$29),0)</f>
        <v>0</v>
      </c>
      <c r="AJ40" s="279"/>
      <c r="AK40" s="280"/>
      <c r="AL40" s="197">
        <f>ROUNDUP(IF(AH40&gt;0,K19/AK40,0),0)</f>
        <v>0</v>
      </c>
      <c r="AN40" s="193">
        <f>SUM(Malla!$R$74:$R$81)-AP40-AO40</f>
        <v>0</v>
      </c>
      <c r="AO40" s="194">
        <f>SUMIF(Malla!$Q$74:$Q$81,Malla!$AB$11,Malla!$R$74:$R$81)</f>
        <v>0</v>
      </c>
      <c r="AP40" s="195">
        <f>SUMIF(Malla!$P$74:$P$81,Malla!$AA$12,Malla!$R$74:$R$81)</f>
        <v>0</v>
      </c>
      <c r="AQ40" s="196">
        <f>IF(INGRESOS!$J$30&gt;=INGRESOS!$X43,AQ39,0)</f>
        <v>0</v>
      </c>
      <c r="AR40" s="279"/>
      <c r="AS40" s="280"/>
      <c r="AT40" s="197">
        <f>ROUNDUP(IF(AP40&gt;0,K19/AS40,0),0)</f>
        <v>0</v>
      </c>
    </row>
    <row r="41" spans="2:46" s="192" customFormat="1" ht="24" customHeight="1" thickBot="1" x14ac:dyDescent="0.3">
      <c r="B41" s="198" t="str">
        <f t="shared" si="2"/>
        <v>Decimo</v>
      </c>
      <c r="C41" s="199">
        <f>IF(INGRESOS!$J$10=INGRESOS!$AA$8,0,IF(INGRESOS!$J$10=INGRESOS!$AA$7,0,($AN41+$AO41*2+$AP41)*$AQ41))</f>
        <v>0</v>
      </c>
      <c r="D41" s="200">
        <f>IF(INGRESOS!$J$10=INGRESOS!$AA$8,0,IF(C41=0,0,IF(INGRESOS!$J$10=INGRESOS!$AA$7,0,($AN41+$AO41*2)*$AQ41*$B$28+$AP41*$AR41*$AT41)))</f>
        <v>0</v>
      </c>
      <c r="E41" s="199">
        <f>IF(INGRESOS!$J$10=INGRESOS!$AA$8,0,($AN41+$AO41*2+$AP41)*$AQ41)</f>
        <v>0</v>
      </c>
      <c r="F41" s="200">
        <f>IF(INGRESOS!$J$10=INGRESOS!$AA$8,0,IF(E41=0,0,($AN41+$AO41*2)*$AQ41*$B$28+$AP41*$AR41*$AT41))</f>
        <v>0</v>
      </c>
      <c r="G41" s="199">
        <f>IF(INGRESOS!$J$10=INGRESOS!$AA$8,0,IF(INGRESOS!$J$10=INGRESOS!$AA$7,0,($AN41+$AO41*2+$AP41)*$AQ41))</f>
        <v>0</v>
      </c>
      <c r="H41" s="200">
        <f>IF(INGRESOS!$J$10=INGRESOS!$AA$8,0,IF(G41=0,0,IF(INGRESOS!$J$10=INGRESOS!$AA$7,0,($AN41+$AO41*2)*$AQ41*$B$28+$AP41*$AR41*$AT41)))</f>
        <v>0</v>
      </c>
      <c r="I41" s="199">
        <f>IF(INGRESOS!$J$10=INGRESOS!$AA$8,0,($AN41+$AO41*2+$AP41)*$AQ41)</f>
        <v>0</v>
      </c>
      <c r="J41" s="200">
        <f>IF(INGRESOS!$J$10=INGRESOS!$AA$8,0,IF(I41=0,0,($AN41+$AO41*2)*$AQ41*$B$28+$AP41*$AR41*$AT41))</f>
        <v>0</v>
      </c>
      <c r="K41" s="199">
        <f>IF(INGRESOS!$J$10=INGRESOS!$AA$8,0,IF(INGRESOS!$J$10=INGRESOS!$AA$7,0,($AN41+$AO41*2+$AP41)*$AQ41))</f>
        <v>0</v>
      </c>
      <c r="L41" s="200">
        <f>IF(INGRESOS!$J$10=INGRESOS!$AA$8,0,IF(K41=0,0,IF(INGRESOS!$J$10=INGRESOS!$AA$7,0,($AN41+$AO41*2)*$AQ41*$B$28+$AP41*$AR41*$AT41)))</f>
        <v>0</v>
      </c>
      <c r="M41" s="199">
        <f>IF(INGRESOS!$J$10=INGRESOS!$AA$8,0,($AN41+$AO41*2+$AP41)*$AQ41)</f>
        <v>0</v>
      </c>
      <c r="N41" s="200">
        <f>IF(INGRESOS!$J$10=INGRESOS!$AA$8,0,IF(M41=0,0,($AN41+$AO41*2)*$AQ41*$B$28+$AP41*$AR41*$AT41))</f>
        <v>0</v>
      </c>
      <c r="O41" s="199">
        <f>IF(INGRESOS!$J$10=INGRESOS!$AA$8,0,IF(INGRESOS!$J$10=INGRESOS!$AA$7,0,($AN41+$AO41*2+$AP41)*$AQ41))</f>
        <v>0</v>
      </c>
      <c r="P41" s="200">
        <f>IF(INGRESOS!$J$10=INGRESOS!$AA$8,0,IF(O41=0,0,IF(INGRESOS!$J$10=INGRESOS!$AA$7,0,($AN41+$AO41*2)*$AQ41*$B$28+$AP41*$AR41*$AT41)))</f>
        <v>0</v>
      </c>
      <c r="Q41" s="199">
        <f>IF(INGRESOS!$J$10=INGRESOS!$AA$8,0,($AN41+$AO41*2+$AP41)*$AQ41)</f>
        <v>0</v>
      </c>
      <c r="R41" s="200">
        <f>IF(INGRESOS!$J$10=INGRESOS!$AA$8,0,IF(Q41=0,0,($AN41+$AO41*2)*$AQ41*$B$28+$AP41*$AR41*$AT41))</f>
        <v>0</v>
      </c>
      <c r="S41" s="199">
        <f>IF(INGRESOS!$J$10=INGRESOS!$AA$8,0,IF(INGRESOS!$J$10=INGRESOS!$AA$7,0,($AN41+$AO41*2+$AP41)*$AQ41))</f>
        <v>0</v>
      </c>
      <c r="T41" s="200">
        <f>IF(INGRESOS!$J$10=INGRESOS!$AA$8,0,IF(S41=0,0,IF(INGRESOS!$J$10=INGRESOS!$AA$7,0,($AN41+$AO41*2)*$AQ41*$B$28+$AP41*$AR41*$AT41)))</f>
        <v>0</v>
      </c>
      <c r="U41" s="201">
        <f t="shared" ref="U41" si="11">($AF41+$AG41*2+$AH41)*$AI41</f>
        <v>0</v>
      </c>
      <c r="V41" s="202">
        <f t="shared" ref="V41" si="12">($AF41+$AG41*2)*$AI41*$B$28+$AH41*$AJ41*$AL41</f>
        <v>0</v>
      </c>
      <c r="W41" s="203">
        <f>IF(INGRESOS!$J$10=INGRESOS!$AA$8,0,IF(INGRESOS!$J$10=INGRESOS!$AA$7,0,($AF41+$AG41*2+$AH41)*$AI41))</f>
        <v>0</v>
      </c>
      <c r="X41" s="204">
        <f>IF(INGRESOS!$J$10=INGRESOS!$AA$8,0,IF(INGRESOS!$J$10=INGRESOS!$AA$7,0,($AF41+$AG41*2)*$AI41*$B$28+$AH41*$AJ41*$AL41))</f>
        <v>0</v>
      </c>
      <c r="Y41" s="203">
        <f>IF(INGRESOS!$J$10=INGRESOS!$AA$8,0,($AF41+$AG41*2+$AH41)*$AI41)</f>
        <v>0</v>
      </c>
      <c r="Z41" s="204">
        <f>IF(INGRESOS!$J$10=INGRESOS!$AA$8,0,($AF41+$AG41*2)*$AI41*$B$28+$AH41*$AJ41*$AL41)</f>
        <v>0</v>
      </c>
      <c r="AA41" s="203">
        <f>IF(INGRESOS!$J$10=INGRESOS!$AA$8,0,IF(INGRESOS!$J$10=INGRESOS!$AA$7,0,($AF41+$AG41*2+$AH41)*$AI41))</f>
        <v>0</v>
      </c>
      <c r="AB41" s="204">
        <f>IF(INGRESOS!$J$10=INGRESOS!$AA$8,0,IF(INGRESOS!$J$10=INGRESOS!$AA$7,0,($AF41+$AG41*2)*$AI41*$B$28+$AH41*$AJ41*$AL41))</f>
        <v>0</v>
      </c>
      <c r="AC41" s="203">
        <f>IF(INGRESOS!$J$10=INGRESOS!$AA$8,0,($AF41+$AG41*2+$AH41)*$AI41)</f>
        <v>0</v>
      </c>
      <c r="AD41" s="204">
        <f>IF(INGRESOS!$J$10=INGRESOS!$AA$8,0,($AF41+$AG41*2)*$AI41*$B$28+$AH41*$AJ41*$AL41)</f>
        <v>0</v>
      </c>
      <c r="AF41" s="205">
        <f>SUM(Malla!$F$82:$F$89)-AH41-AG41</f>
        <v>0</v>
      </c>
      <c r="AG41" s="206">
        <f>SUMIF(Malla!$E$82:$E$89,Malla!$AB$11,Malla!$F$82:$F$89)</f>
        <v>0</v>
      </c>
      <c r="AH41" s="207">
        <f>SUMIF(Malla!$D$82:$D$89,Malla!$AA$12,Malla!$F$82:$F$89)</f>
        <v>0</v>
      </c>
      <c r="AI41" s="212">
        <f>ROUNDUP(IF($L20=0,0,$L20/$AI$29),0)</f>
        <v>0</v>
      </c>
      <c r="AJ41" s="289"/>
      <c r="AK41" s="290"/>
      <c r="AL41" s="207">
        <f>ROUNDUP(IF(AH41&gt;0,L20/AK41,0),0)</f>
        <v>0</v>
      </c>
      <c r="AN41" s="205">
        <f>SUM(Malla!$R$82:$R$89)-AP41-AO41</f>
        <v>0</v>
      </c>
      <c r="AO41" s="206">
        <f>SUMIF(Malla!$Q$82:$Q$89,Malla!$AB$11,Malla!$R$82:$R$89)</f>
        <v>0</v>
      </c>
      <c r="AP41" s="207">
        <f>SUMIF(Malla!$P$82:$P$89,Malla!$AA$12,Malla!$R$82:$R$89)</f>
        <v>0</v>
      </c>
      <c r="AQ41" s="210">
        <f>IF(INGRESOS!$J$30&gt;=INGRESOS!$X44,AQ40,0)</f>
        <v>0</v>
      </c>
      <c r="AR41" s="289"/>
      <c r="AS41" s="290"/>
      <c r="AT41" s="207">
        <f>ROUNDUP(IF(AP41&gt;0,L20/AS41,0),0)</f>
        <v>0</v>
      </c>
    </row>
    <row r="42" spans="2:46" s="192" customFormat="1" ht="24" customHeight="1" x14ac:dyDescent="0.25">
      <c r="B42" s="211" t="str">
        <f t="shared" si="2"/>
        <v>Once</v>
      </c>
      <c r="C42" s="190">
        <f>IF(INGRESOS!$J$10=INGRESOS!$AA$8,0,($AN42+$AO42*2+$AP42)*$AQ42)</f>
        <v>0</v>
      </c>
      <c r="D42" s="191">
        <f>IF(INGRESOS!$J$10=INGRESOS!$AA$8,0,IF(C42=0,0,($AN42+$AO42*2)*$AQ42*$B$28+$AP42*$AR42*$AT42))</f>
        <v>0</v>
      </c>
      <c r="E42" s="190">
        <f>IF(INGRESOS!$J$10=INGRESOS!$AA$8,0,IF(INGRESOS!$J$10=INGRESOS!$AA$7,0,($AN42+$AO42*2+$AP42)*$AQ42))</f>
        <v>0</v>
      </c>
      <c r="F42" s="191">
        <f>IF(INGRESOS!$J$10=INGRESOS!$AA$8,0,IF(E42=0,0,($AN42+$AO42*2)*$AQ42*$B$28+$AP42*$AR42*$AT42))</f>
        <v>0</v>
      </c>
      <c r="G42" s="190">
        <f>IF(INGRESOS!$J$10=INGRESOS!$AA$8,0,($AN42+$AO42*2+$AP42)*$AQ42)</f>
        <v>0</v>
      </c>
      <c r="H42" s="191">
        <f>IF(INGRESOS!$J$10=INGRESOS!$AA$8,0,IF(G42=0,0,($AN42+$AO42*2)*$AQ42*$B$28+$AP42*$AR42*$AT42))</f>
        <v>0</v>
      </c>
      <c r="I42" s="190">
        <f>IF(INGRESOS!$J$10=INGRESOS!$AA$8,0,IF(INGRESOS!$J$10=INGRESOS!$AA$7,0,($AN42+$AO42*2+$AP42)*$AQ42))</f>
        <v>0</v>
      </c>
      <c r="J42" s="191">
        <f>IF(INGRESOS!$J$10=INGRESOS!$AA$8,0,IF(I42=0,0,($AN42+$AO42*2)*$AQ42*$B$28+$AP42*$AR42*$AT42))</f>
        <v>0</v>
      </c>
      <c r="K42" s="190">
        <f>IF(INGRESOS!$J$10=INGRESOS!$AA$8,0,($AN42+$AO42*2+$AP42)*$AQ42)</f>
        <v>0</v>
      </c>
      <c r="L42" s="191">
        <f>IF(INGRESOS!$J$10=INGRESOS!$AA$8,0,IF(K42=0,0,($AN42+$AO42*2)*$AQ42*$B$28+$AP42*$AR42*$AT42))</f>
        <v>0</v>
      </c>
      <c r="M42" s="190">
        <f>IF(INGRESOS!$J$10=INGRESOS!$AA$8,0,IF(INGRESOS!$J$10=INGRESOS!$AA$7,0,($AN42+$AO42*2+$AP42)*$AQ42))</f>
        <v>0</v>
      </c>
      <c r="N42" s="191">
        <f>IF(INGRESOS!$J$10=INGRESOS!$AA$8,0,IF(M42=0,0,($AN42+$AO42*2)*$AQ42*$B$28+$AP42*$AR42*$AT42))</f>
        <v>0</v>
      </c>
      <c r="O42" s="190">
        <f>IF(INGRESOS!$J$10=INGRESOS!$AA$8,0,($AN42+$AO42*2+$AP42)*$AQ42)</f>
        <v>0</v>
      </c>
      <c r="P42" s="191">
        <f>IF(INGRESOS!$J$10=INGRESOS!$AA$8,0,IF(O42=0,0,($AN42+$AO42*2)*$AQ42*$B$28+$AP42*$AR42*$AT42))</f>
        <v>0</v>
      </c>
      <c r="Q42" s="190">
        <f>IF(INGRESOS!$J$10=INGRESOS!$AA$8,0,IF(INGRESOS!$J$10=INGRESOS!$AA$7,0,($AN42+$AO42*2+$AP42)*$AQ42))</f>
        <v>0</v>
      </c>
      <c r="R42" s="191">
        <f>IF(INGRESOS!$J$10=INGRESOS!$AA$8,0,IF(Q42=0,0,($AN42+$AO42*2)*$AQ42*$B$28+$AP42*$AR42*$AT42))</f>
        <v>0</v>
      </c>
      <c r="S42" s="190">
        <f>IF(INGRESOS!$J$10=INGRESOS!$AA$8,0,($AN42+$AO42*2+$AP42)*$AQ42)</f>
        <v>0</v>
      </c>
      <c r="T42" s="191">
        <f>IF(INGRESOS!$J$10=INGRESOS!$AA$8,0,IF(S42=0,0,($AN42+$AO42*2)*$AQ42*$B$28+$AP42*$AR42*$AT42))</f>
        <v>0</v>
      </c>
      <c r="U42" s="190">
        <f>IF(INGRESOS!$J$10=INGRESOS!$AA$8,0,IF(INGRESOS!$J$10=INGRESOS!$AA$7,0,($AN42+$AO42*2+$AP42)*$AQ42))</f>
        <v>0</v>
      </c>
      <c r="V42" s="191">
        <f>IF(INGRESOS!$J$10=INGRESOS!$AA$8,0,IF(U42=0,0,($AN42+$AO42*2)*$AQ42*$B$28+$AP42*$AR42*$AT42))</f>
        <v>0</v>
      </c>
      <c r="W42" s="188">
        <f t="shared" ref="W42" si="13">($AF42+$AG42*2+$AH42)*$AI42</f>
        <v>0</v>
      </c>
      <c r="X42" s="189">
        <f t="shared" ref="X42" si="14">($AF42+$AG42*2)*$AI42*$B$28+$AH42*$AJ42*$AL42</f>
        <v>0</v>
      </c>
      <c r="Y42" s="190">
        <f>IF(INGRESOS!$J$10=INGRESOS!$AA$8,0,IF(INGRESOS!$J$10=INGRESOS!$AA$7,0,($AF42+$AG42*2+$AH42)*$AI42))</f>
        <v>0</v>
      </c>
      <c r="Z42" s="191">
        <f>IF(INGRESOS!$J$10=INGRESOS!$AA$8,0,IF(INGRESOS!$J$10=INGRESOS!$AA$7,0,($AF42+$AG42*2)*$AI42*$B$28+$AH42*$AJ42*$AL42))</f>
        <v>0</v>
      </c>
      <c r="AA42" s="190">
        <f>IF(INGRESOS!$J$10=INGRESOS!$AA$8,0,($AF42+$AG42*2+$AH42)*$AI42)</f>
        <v>0</v>
      </c>
      <c r="AB42" s="191">
        <f>IF(INGRESOS!$J$10=INGRESOS!$AA$8,0,($AF42+$AG42*2)*$AI42*$B$28+$AH42*$AJ42*$AL42)</f>
        <v>0</v>
      </c>
      <c r="AC42" s="190">
        <f>IF(INGRESOS!$J$10=INGRESOS!$AA$8,0,IF(INGRESOS!$J$10=INGRESOS!$AA$7,0,($AF42+$AG42*2+$AH42)*$AI42))</f>
        <v>0</v>
      </c>
      <c r="AD42" s="191">
        <f>IF(INGRESOS!$J$10=INGRESOS!$AA$8,0,IF(INGRESOS!$J$10=INGRESOS!$AA$7,0,($AF42+$AG42*2)*$AI42*$B$28+$AH42*$AJ42*$AL42))</f>
        <v>0</v>
      </c>
      <c r="AF42" s="193">
        <f>SUM(Malla!$F$90:$F$97)-AH42-AG42</f>
        <v>0</v>
      </c>
      <c r="AG42" s="194">
        <f>SUMIF(Malla!$E$90:$E$97,Malla!$AB$11,Malla!$F$90:$F$97)</f>
        <v>0</v>
      </c>
      <c r="AH42" s="195">
        <f>SUMIF(Malla!$D$90:$D$97,Malla!$AA$12,Malla!$F$90:$F$97)</f>
        <v>0</v>
      </c>
      <c r="AI42" s="196">
        <f>ROUNDUP(IF($M21=0,0,$M21/$AI$29),0)</f>
        <v>0</v>
      </c>
      <c r="AJ42" s="279"/>
      <c r="AK42" s="280"/>
      <c r="AL42" s="197">
        <f>ROUNDUP(IF(AH42&gt;0,M21/AK42,0),0)</f>
        <v>0</v>
      </c>
      <c r="AN42" s="193">
        <f>SUM(Malla!$R$90:$R$97)-AP42-AO42</f>
        <v>0</v>
      </c>
      <c r="AO42" s="194">
        <f>SUMIF(Malla!$Q$90:$Q$97,Malla!$AB$11,Malla!$R$90:$R$97)</f>
        <v>0</v>
      </c>
      <c r="AP42" s="195">
        <f>SUMIF(Malla!$P$90:$P$97,Malla!$AA$12,Malla!$R$90:$R$97)</f>
        <v>0</v>
      </c>
      <c r="AQ42" s="196">
        <f>IF(INGRESOS!$J$30&gt;=INGRESOS!$X45,AQ41,0)</f>
        <v>0</v>
      </c>
      <c r="AR42" s="279"/>
      <c r="AS42" s="280"/>
      <c r="AT42" s="197">
        <f>ROUNDUP(IF(AP42&gt;0,M21/AS42,0),0)</f>
        <v>0</v>
      </c>
    </row>
    <row r="43" spans="2:46" s="192" customFormat="1" ht="24" customHeight="1" thickBot="1" x14ac:dyDescent="0.3">
      <c r="B43" s="213" t="str">
        <f t="shared" si="2"/>
        <v>Doce</v>
      </c>
      <c r="C43" s="199">
        <f>IF(INGRESOS!$J$10=INGRESOS!$AA$8,0,IF(INGRESOS!$J$10=INGRESOS!$AA$7,0,($AN43+$AO43*2+$AP43)*$AQ43))</f>
        <v>0</v>
      </c>
      <c r="D43" s="200">
        <f>IF(INGRESOS!$J$10=INGRESOS!$AA$8,0,IF(C43=0,0,IF(INGRESOS!$J$10=INGRESOS!$AA$7,0,($AN43+$AO43*2)*$AQ43*$B$28+$AP43*$AR43*$AT43)))</f>
        <v>0</v>
      </c>
      <c r="E43" s="199">
        <f>IF(INGRESOS!$J$10=INGRESOS!$AA$8,0,($AN43+$AO43*2+$AP43)*$AQ43)</f>
        <v>0</v>
      </c>
      <c r="F43" s="200">
        <f>IF(INGRESOS!$J$10=INGRESOS!$AA$8,0,IF(E43=0,0,($AN43+$AO43*2)*$AQ43*$B$28+$AP43*$AR43*$AT43))</f>
        <v>0</v>
      </c>
      <c r="G43" s="199">
        <f>IF(INGRESOS!$J$10=INGRESOS!$AA$8,0,IF(INGRESOS!$J$10=INGRESOS!$AA$7,0,($AN43+$AO43*2+$AP43)*$AQ43))</f>
        <v>0</v>
      </c>
      <c r="H43" s="200">
        <f>IF(INGRESOS!$J$10=INGRESOS!$AA$8,0,IF(G43=0,0,IF(INGRESOS!$J$10=INGRESOS!$AA$7,0,($AN43+$AO43*2)*$AQ43*$B$28+$AP43*$AR43*$AT43)))</f>
        <v>0</v>
      </c>
      <c r="I43" s="199">
        <f>IF(INGRESOS!$J$10=INGRESOS!$AA$8,0,($AN43+$AO43*2+$AP43)*$AQ43)</f>
        <v>0</v>
      </c>
      <c r="J43" s="200">
        <f>IF(INGRESOS!$J$10=INGRESOS!$AA$8,0,IF(I43=0,0,($AN43+$AO43*2)*$AQ43*$B$28+$AP43*$AR43*$AT43))</f>
        <v>0</v>
      </c>
      <c r="K43" s="199">
        <f>IF(INGRESOS!$J$10=INGRESOS!$AA$8,0,IF(INGRESOS!$J$10=INGRESOS!$AA$7,0,($AN43+$AO43*2+$AP43)*$AQ43))</f>
        <v>0</v>
      </c>
      <c r="L43" s="200">
        <f>IF(INGRESOS!$J$10=INGRESOS!$AA$8,0,IF(K43=0,0,IF(INGRESOS!$J$10=INGRESOS!$AA$7,0,($AN43+$AO43*2)*$AQ43*$B$28+$AP43*$AR43*$AT43)))</f>
        <v>0</v>
      </c>
      <c r="M43" s="199">
        <f>IF(INGRESOS!$J$10=INGRESOS!$AA$8,0,($AN43+$AO43*2+$AP43)*$AQ43)</f>
        <v>0</v>
      </c>
      <c r="N43" s="200">
        <f>IF(INGRESOS!$J$10=INGRESOS!$AA$8,0,IF(M43=0,0,($AN43+$AO43*2)*$AQ43*$B$28+$AP43*$AR43*$AT43))</f>
        <v>0</v>
      </c>
      <c r="O43" s="199">
        <f>IF(INGRESOS!$J$10=INGRESOS!$AA$8,0,IF(INGRESOS!$J$10=INGRESOS!$AA$7,0,($AN43+$AO43*2+$AP43)*$AQ43))</f>
        <v>0</v>
      </c>
      <c r="P43" s="200">
        <f>IF(INGRESOS!$J$10=INGRESOS!$AA$8,0,IF(O43=0,0,IF(INGRESOS!$J$10=INGRESOS!$AA$7,0,($AN43+$AO43*2)*$AQ43*$B$28+$AP43*$AR43*$AT43)))</f>
        <v>0</v>
      </c>
      <c r="Q43" s="199">
        <f>IF(INGRESOS!$J$10=INGRESOS!$AA$8,0,($AN43+$AO43*2+$AP43)*$AQ43)</f>
        <v>0</v>
      </c>
      <c r="R43" s="200">
        <f>IF(INGRESOS!$J$10=INGRESOS!$AA$8,0,IF(Q43=0,0,($AN43+$AO43*2)*$AQ43*$B$28+$AP43*$AR43*$AT43))</f>
        <v>0</v>
      </c>
      <c r="S43" s="199">
        <f>IF(INGRESOS!$J$10=INGRESOS!$AA$8,0,IF(INGRESOS!$J$10=INGRESOS!$AA$7,0,($AN43+$AO43*2+$AP43)*$AQ43))</f>
        <v>0</v>
      </c>
      <c r="T43" s="200">
        <f>IF(INGRESOS!$J$10=INGRESOS!$AA$8,0,IF(S43=0,0,IF(INGRESOS!$J$10=INGRESOS!$AA$7,0,($AN43+$AO43*2)*$AQ43*$B$28+$AP43*$AR43*$AT43)))</f>
        <v>0</v>
      </c>
      <c r="U43" s="199">
        <f>IF(INGRESOS!$J$10=INGRESOS!$AA$8,0,($AN43+$AO43*2+$AP43)*$AQ43)</f>
        <v>0</v>
      </c>
      <c r="V43" s="200">
        <f>IF(INGRESOS!$J$10=INGRESOS!$AA$8,0,IF(U43=0,0,($AN43+$AO43*2)*$AQ43*$B$28+$AP43*$AR43*$AT43))</f>
        <v>0</v>
      </c>
      <c r="W43" s="199">
        <f>IF(INGRESOS!$J$10=INGRESOS!$AA$8,0,IF(INGRESOS!$J$10=INGRESOS!$AA$7,0,($AN43+$AO43*2+$AP43)*$AQ43))</f>
        <v>0</v>
      </c>
      <c r="X43" s="200">
        <f>IF(INGRESOS!$J$10=INGRESOS!$AA$8,0,IF(W43=0,0,IF(INGRESOS!$J$10=INGRESOS!$AA$7,0,($AN43+$AO43*2)*$AQ43*$B$28+$AP43*$AR43*$AT43)))</f>
        <v>0</v>
      </c>
      <c r="Y43" s="201">
        <f t="shared" ref="Y43" si="15">($AF43+$AG43*2+$AH43)*$AI43</f>
        <v>0</v>
      </c>
      <c r="Z43" s="202">
        <f t="shared" ref="Z43" si="16">($AF43+$AG43*2)*$AI43*$B$28+$AH43*$AJ43*$AL43</f>
        <v>0</v>
      </c>
      <c r="AA43" s="203">
        <f>IF(INGRESOS!$J$10=INGRESOS!$AA$8,0,IF(INGRESOS!$J$10=INGRESOS!$AA$7,0,($AF43+$AG43*2+$AH43)*$AI43))</f>
        <v>0</v>
      </c>
      <c r="AB43" s="204">
        <f>IF(INGRESOS!$J$10=INGRESOS!$AA$8,0,IF(INGRESOS!$J$10=INGRESOS!$AA$7,0,($AF43+$AG43*2)*$AI43*$B$28+$AH43*$AJ43*$AL43))</f>
        <v>0</v>
      </c>
      <c r="AC43" s="203">
        <f>IF(INGRESOS!$J$10=INGRESOS!$AA$8,0,($AF43+$AG43*2+$AH43)*$AI43)</f>
        <v>0</v>
      </c>
      <c r="AD43" s="204">
        <f>IF(INGRESOS!$J$10=INGRESOS!$AA$8,0,($AF43+$AG43*2)*$AI43*$B$28+$AH43*$AJ43*$AL43)</f>
        <v>0</v>
      </c>
      <c r="AF43" s="205">
        <f>SUM(Malla!$F$98:$F$105)-AH43-AG43</f>
        <v>0</v>
      </c>
      <c r="AG43" s="206">
        <f>SUMIF(Malla!$E$98:$E$105,Malla!$AB$11,Malla!$F$98:$F$105)</f>
        <v>0</v>
      </c>
      <c r="AH43" s="207">
        <f>SUMIF(Malla!$D$98:$D$105,Malla!$AA$12,Malla!$F$98:$F$105)</f>
        <v>0</v>
      </c>
      <c r="AI43" s="212">
        <f>ROUNDUP(IF($N22=0,0,$N22/$AI$29),0)</f>
        <v>0</v>
      </c>
      <c r="AJ43" s="289"/>
      <c r="AK43" s="290"/>
      <c r="AL43" s="207">
        <f>ROUNDUP(IF(AH43&gt;0,N22/AK43,0),0)</f>
        <v>0</v>
      </c>
      <c r="AN43" s="205">
        <f>SUM(Malla!$R$98:$R$105)-AP43-AO43</f>
        <v>0</v>
      </c>
      <c r="AO43" s="206">
        <f>SUMIF(Malla!$Q$98:$Q$105,Malla!$AB$11,Malla!$R$98:$R$105)</f>
        <v>0</v>
      </c>
      <c r="AP43" s="207">
        <f>SUMIF(Malla!$P$98:$P$105,Malla!$AA$12,Malla!$R$98:$R$105)</f>
        <v>0</v>
      </c>
      <c r="AQ43" s="210">
        <f>IF(INGRESOS!$J$30&gt;=INGRESOS!$X46,AQ42,0)</f>
        <v>0</v>
      </c>
      <c r="AR43" s="289"/>
      <c r="AS43" s="290"/>
      <c r="AT43" s="207">
        <f>ROUNDUP(IF(AP43&gt;0,N22/AS43,0),0)</f>
        <v>0</v>
      </c>
    </row>
    <row r="44" spans="2:46" s="192" customFormat="1" ht="20.25" customHeight="1" thickBot="1" x14ac:dyDescent="0.3">
      <c r="B44" s="214" t="s">
        <v>189</v>
      </c>
      <c r="C44" s="215">
        <f t="shared" ref="C44:AD44" si="17">SUM(C32:C43)</f>
        <v>0</v>
      </c>
      <c r="D44" s="216">
        <f t="shared" si="17"/>
        <v>0</v>
      </c>
      <c r="E44" s="215">
        <f t="shared" si="17"/>
        <v>0</v>
      </c>
      <c r="F44" s="216">
        <f t="shared" si="17"/>
        <v>0</v>
      </c>
      <c r="G44" s="215">
        <f t="shared" si="17"/>
        <v>0</v>
      </c>
      <c r="H44" s="216">
        <f t="shared" si="17"/>
        <v>0</v>
      </c>
      <c r="I44" s="215">
        <f t="shared" si="17"/>
        <v>0</v>
      </c>
      <c r="J44" s="216">
        <f t="shared" si="17"/>
        <v>0</v>
      </c>
      <c r="K44" s="215">
        <f t="shared" si="17"/>
        <v>0</v>
      </c>
      <c r="L44" s="216">
        <f t="shared" si="17"/>
        <v>0</v>
      </c>
      <c r="M44" s="215">
        <f t="shared" si="17"/>
        <v>0</v>
      </c>
      <c r="N44" s="216">
        <f t="shared" si="17"/>
        <v>0</v>
      </c>
      <c r="O44" s="215">
        <f t="shared" si="17"/>
        <v>0</v>
      </c>
      <c r="P44" s="216">
        <f t="shared" si="17"/>
        <v>0</v>
      </c>
      <c r="Q44" s="215">
        <f t="shared" si="17"/>
        <v>0</v>
      </c>
      <c r="R44" s="216">
        <f t="shared" si="17"/>
        <v>0</v>
      </c>
      <c r="S44" s="215">
        <f t="shared" si="17"/>
        <v>0</v>
      </c>
      <c r="T44" s="216">
        <f t="shared" si="17"/>
        <v>0</v>
      </c>
      <c r="U44" s="215">
        <f t="shared" si="17"/>
        <v>0</v>
      </c>
      <c r="V44" s="216">
        <f t="shared" si="17"/>
        <v>0</v>
      </c>
      <c r="W44" s="215">
        <f t="shared" si="17"/>
        <v>0</v>
      </c>
      <c r="X44" s="216">
        <f t="shared" si="17"/>
        <v>0</v>
      </c>
      <c r="Y44" s="215">
        <f t="shared" si="17"/>
        <v>0</v>
      </c>
      <c r="Z44" s="216">
        <f t="shared" si="17"/>
        <v>0</v>
      </c>
      <c r="AA44" s="215">
        <f t="shared" si="17"/>
        <v>0</v>
      </c>
      <c r="AB44" s="216">
        <f t="shared" si="17"/>
        <v>0</v>
      </c>
      <c r="AC44" s="215">
        <f t="shared" si="17"/>
        <v>0</v>
      </c>
      <c r="AD44" s="216">
        <f t="shared" si="17"/>
        <v>0</v>
      </c>
      <c r="AF44" s="215">
        <f>SUM(AF32:AF43)</f>
        <v>0</v>
      </c>
      <c r="AG44" s="215">
        <f t="shared" ref="AG44:AH44" si="18">SUM(AG32:AG43)</f>
        <v>0</v>
      </c>
      <c r="AH44" s="215">
        <f t="shared" si="18"/>
        <v>0</v>
      </c>
      <c r="AI44" s="217">
        <f>ROUNDUP(AVERAGE(AI32:AI43),0)</f>
        <v>0</v>
      </c>
      <c r="AN44" s="215">
        <f>SUM(AN32:AN41)</f>
        <v>0</v>
      </c>
      <c r="AO44" s="216">
        <f>SUM(AO32:AO41)</f>
        <v>0</v>
      </c>
      <c r="AP44" s="216">
        <f>SUM(AP32:AP41)</f>
        <v>0</v>
      </c>
      <c r="AQ44" s="217">
        <f>ROUNDUP(AVERAGE(AQ32:AQ43),0)</f>
        <v>0</v>
      </c>
    </row>
    <row r="45" spans="2:46" ht="15" x14ac:dyDescent="0.25">
      <c r="B45" s="218" t="s">
        <v>287</v>
      </c>
      <c r="U45" s="155">
        <f>C32+E33+G34+I35+K36+M37+O38+Q39+S40+U41</f>
        <v>0</v>
      </c>
      <c r="V45" s="155">
        <f>D32+F33+H34+J35+L36+N37+P38+R39+T40+V41</f>
        <v>0</v>
      </c>
      <c r="Y45" s="155"/>
      <c r="Z45" s="155"/>
      <c r="AC45" s="155">
        <f>C44+E44+G44+I44+K44+M44+O44+Q44+S44+U44+W44+Y44+AA44+AC44</f>
        <v>0</v>
      </c>
      <c r="AD45" s="155">
        <f>D44+F44+H44+J44+L44+N44+P44+R44+T44+V44+X44+Z44+AB44+AD44</f>
        <v>0</v>
      </c>
      <c r="AH45" s="155">
        <f>SUM(AF44:AH44)</f>
        <v>0</v>
      </c>
      <c r="AP45" s="155">
        <f>SUM(AN44:AP44)</f>
        <v>0</v>
      </c>
    </row>
    <row r="46" spans="2:46" ht="8.25" customHeight="1" x14ac:dyDescent="0.2"/>
    <row r="47" spans="2:46" ht="15" x14ac:dyDescent="0.25">
      <c r="C47" s="488" t="s">
        <v>337</v>
      </c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</row>
    <row r="48" spans="2:46" x14ac:dyDescent="0.2">
      <c r="B48" s="219" t="s">
        <v>311</v>
      </c>
      <c r="C48" s="220">
        <f>IF(C$44=0,0,(Malla!$I$15+Malla!$U$23)/C$44)</f>
        <v>0</v>
      </c>
      <c r="D48" s="221">
        <f>+D$44*C48</f>
        <v>0</v>
      </c>
      <c r="E48" s="220">
        <f>IF(E$44=0,0,(Malla!$I$23+Malla!$U$31)/E$44)</f>
        <v>0</v>
      </c>
      <c r="F48" s="221">
        <f>+F$44*E48</f>
        <v>0</v>
      </c>
      <c r="G48" s="220">
        <f>IF(G$44=0,0,(Malla!$I$31+Malla!$U$39)/G$44)</f>
        <v>0</v>
      </c>
      <c r="H48" s="221">
        <f>+H$44*G48</f>
        <v>0</v>
      </c>
      <c r="I48" s="220">
        <f>IF(I$44=0,0,(Malla!$I$39+Malla!$U$47)/I$44)</f>
        <v>0</v>
      </c>
      <c r="J48" s="221">
        <f>+J$44*I48</f>
        <v>0</v>
      </c>
      <c r="K48" s="220">
        <f>IF(K$44=0,0,(Malla!$I$47+Malla!$U$55)/K$44)</f>
        <v>0</v>
      </c>
      <c r="L48" s="221">
        <f>+L$44*K48</f>
        <v>0</v>
      </c>
      <c r="M48" s="220">
        <f>IF(M$44=0,0,(Malla!$I$55+Malla!$U$63)/M$44)</f>
        <v>0</v>
      </c>
      <c r="N48" s="221">
        <f>+N$44*M48</f>
        <v>0</v>
      </c>
      <c r="O48" s="220">
        <f>IF(O$44=0,0,(Malla!$I$63+Malla!$U$71)/O$44)</f>
        <v>0</v>
      </c>
      <c r="P48" s="221">
        <f>+P$44*O48</f>
        <v>0</v>
      </c>
      <c r="Q48" s="220">
        <f>IF(Q$44=0,0,(Malla!$I$71+Malla!$U$79)/Q$44)</f>
        <v>0</v>
      </c>
      <c r="R48" s="221">
        <f>+R$44*Q48</f>
        <v>0</v>
      </c>
      <c r="S48" s="220">
        <f>IF(S$44=0,0,(Malla!$I$79+Malla!$U$87)/S$44)</f>
        <v>0</v>
      </c>
      <c r="T48" s="221">
        <f>+T$44*S48</f>
        <v>0</v>
      </c>
      <c r="U48" s="220">
        <f>IF(U$44=0,0,(Malla!$I$87+Malla!$U$95)/U$44)</f>
        <v>0</v>
      </c>
      <c r="V48" s="221">
        <f>+V$44*U48</f>
        <v>0</v>
      </c>
      <c r="W48" s="220">
        <f>IF(W$44=0,0,(Malla!$I$95+Malla!$U$103)/W$44)</f>
        <v>0</v>
      </c>
      <c r="X48" s="221">
        <f>+X$44*W48</f>
        <v>0</v>
      </c>
      <c r="Y48" s="220">
        <f>IF(Y$44=0,0,(Malla!$I$103)/Y$44)</f>
        <v>0</v>
      </c>
      <c r="Z48" s="221">
        <f>+Z$44*Y48</f>
        <v>0</v>
      </c>
      <c r="AA48" s="220">
        <f>IF(AA$44=0,0,(Malla!$I$103)/AA$44)</f>
        <v>0</v>
      </c>
      <c r="AB48" s="221">
        <f>+AB$44*AA48</f>
        <v>0</v>
      </c>
      <c r="AC48" s="220">
        <f>IF(AC$44=0,0,(Malla!$I$103)/AC$44)</f>
        <v>0</v>
      </c>
      <c r="AD48" s="221">
        <f>+AD$44*AC48</f>
        <v>0</v>
      </c>
    </row>
    <row r="49" spans="2:30" x14ac:dyDescent="0.2">
      <c r="B49" s="222" t="s">
        <v>312</v>
      </c>
      <c r="C49" s="220">
        <f>IF(C$44=0,0,(Malla!$J$15+Malla!$V$23)/C$44)</f>
        <v>0</v>
      </c>
      <c r="D49" s="221">
        <f t="shared" ref="D49:F51" si="19">+D$44*C49</f>
        <v>0</v>
      </c>
      <c r="E49" s="220">
        <f>IF(E$44=0,0,(Malla!$J$23+Malla!$V$31)/E$44)</f>
        <v>0</v>
      </c>
      <c r="F49" s="221">
        <f t="shared" si="19"/>
        <v>0</v>
      </c>
      <c r="G49" s="220">
        <f>IF(G$44=0,0,(Malla!$J$31+Malla!$V$39)/G$44)</f>
        <v>0</v>
      </c>
      <c r="H49" s="221">
        <f t="shared" ref="H49" si="20">+H$44*G49</f>
        <v>0</v>
      </c>
      <c r="I49" s="220">
        <f>IF(I$44=0,0,(Malla!$J$39+Malla!$V$47)/I$44)</f>
        <v>0</v>
      </c>
      <c r="J49" s="221">
        <f t="shared" ref="J49" si="21">+J$44*I49</f>
        <v>0</v>
      </c>
      <c r="K49" s="220">
        <f>IF(K$44=0,0,(Malla!$J$47+Malla!$V$55)/K$44)</f>
        <v>0</v>
      </c>
      <c r="L49" s="221">
        <f t="shared" ref="L49" si="22">+L$44*K49</f>
        <v>0</v>
      </c>
      <c r="M49" s="220">
        <f>IF(M$44=0,0,(Malla!$J$55+Malla!$V$63)/M$44)</f>
        <v>0</v>
      </c>
      <c r="N49" s="221">
        <f t="shared" ref="N49" si="23">+N$44*M49</f>
        <v>0</v>
      </c>
      <c r="O49" s="220">
        <f>IF(O$44=0,0,(Malla!$J$63+Malla!$V$71)/O$44)</f>
        <v>0</v>
      </c>
      <c r="P49" s="221">
        <f t="shared" ref="P49" si="24">+P$44*O49</f>
        <v>0</v>
      </c>
      <c r="Q49" s="220">
        <f>IF(Q$44=0,0,(Malla!$J$71+Malla!$V$79)/Q$44)</f>
        <v>0</v>
      </c>
      <c r="R49" s="221">
        <f t="shared" ref="R49" si="25">+R$44*Q49</f>
        <v>0</v>
      </c>
      <c r="S49" s="220">
        <f>IF(S$44=0,0,(Malla!$J$79+Malla!$V$87)/S$44)</f>
        <v>0</v>
      </c>
      <c r="T49" s="221">
        <f t="shared" ref="T49" si="26">+T$44*S49</f>
        <v>0</v>
      </c>
      <c r="U49" s="220">
        <f>IF(U$44=0,0,(Malla!$J$87+Malla!$V$95)/U$44)</f>
        <v>0</v>
      </c>
      <c r="V49" s="221">
        <f t="shared" ref="V49" si="27">+V$44*U49</f>
        <v>0</v>
      </c>
      <c r="W49" s="220">
        <f>IF(W$44=0,0,(Malla!$J$95+Malla!$V$103)/W$44)</f>
        <v>0</v>
      </c>
      <c r="X49" s="221">
        <f t="shared" ref="X49" si="28">+X$44*W49</f>
        <v>0</v>
      </c>
      <c r="Y49" s="220">
        <f>IF(Y$44=0,0,(Malla!$J$103)/Y$44)</f>
        <v>0</v>
      </c>
      <c r="Z49" s="221">
        <f t="shared" ref="Z49" si="29">+Z$44*Y49</f>
        <v>0</v>
      </c>
      <c r="AA49" s="220">
        <f>IF(AA$44=0,0,(Malla!$J$103)/AA$44)</f>
        <v>0</v>
      </c>
      <c r="AB49" s="221">
        <f t="shared" ref="AB49" si="30">+AB$44*AA49</f>
        <v>0</v>
      </c>
      <c r="AC49" s="220">
        <f>IF(AC$44=0,0,(Malla!$J$103)/AC$44)</f>
        <v>0</v>
      </c>
      <c r="AD49" s="221">
        <f t="shared" ref="AD49" si="31">+AD$44*AC49</f>
        <v>0</v>
      </c>
    </row>
    <row r="50" spans="2:30" x14ac:dyDescent="0.2">
      <c r="B50" s="223" t="s">
        <v>313</v>
      </c>
      <c r="C50" s="220">
        <f>IF(C$44=0,0,(Malla!$K$15+Malla!$W$23)/C$44)</f>
        <v>0</v>
      </c>
      <c r="D50" s="221">
        <f t="shared" si="19"/>
        <v>0</v>
      </c>
      <c r="E50" s="220">
        <f>IF(E$44=0,0,(Malla!$K$23+Malla!$W$31)/E$44)</f>
        <v>0</v>
      </c>
      <c r="F50" s="221">
        <f t="shared" si="19"/>
        <v>0</v>
      </c>
      <c r="G50" s="220">
        <f>IF(G$44=0,0,(Malla!$K$31+Malla!$W$39)/G$44)</f>
        <v>0</v>
      </c>
      <c r="H50" s="221">
        <f t="shared" ref="H50" si="32">+H$44*G50</f>
        <v>0</v>
      </c>
      <c r="I50" s="220">
        <f>IF(I$44=0,0,(Malla!$K$39+Malla!$W$47)/I$44)</f>
        <v>0</v>
      </c>
      <c r="J50" s="221">
        <f t="shared" ref="J50" si="33">+J$44*I50</f>
        <v>0</v>
      </c>
      <c r="K50" s="220">
        <f>IF(K$44=0,0,(Malla!$K$47+Malla!$W$55)/K$44)</f>
        <v>0</v>
      </c>
      <c r="L50" s="221">
        <f t="shared" ref="L50" si="34">+L$44*K50</f>
        <v>0</v>
      </c>
      <c r="M50" s="220">
        <f>IF(M$44=0,0,(Malla!$K$55+Malla!$W$63)/M$44)</f>
        <v>0</v>
      </c>
      <c r="N50" s="221">
        <f t="shared" ref="N50" si="35">+N$44*M50</f>
        <v>0</v>
      </c>
      <c r="O50" s="220">
        <f>IF(O$44=0,0,(Malla!$K$63+Malla!$W$71)/O$44)</f>
        <v>0</v>
      </c>
      <c r="P50" s="221">
        <f t="shared" ref="P50" si="36">+P$44*O50</f>
        <v>0</v>
      </c>
      <c r="Q50" s="220">
        <f>IF(Q$44=0,0,(Malla!$K$71+Malla!$W$79)/Q$44)</f>
        <v>0</v>
      </c>
      <c r="R50" s="221">
        <f t="shared" ref="R50" si="37">+R$44*Q50</f>
        <v>0</v>
      </c>
      <c r="S50" s="220">
        <f>IF(S$44=0,0,(Malla!$K$79+Malla!$W$87)/S$44)</f>
        <v>0</v>
      </c>
      <c r="T50" s="221">
        <f t="shared" ref="T50" si="38">+T$44*S50</f>
        <v>0</v>
      </c>
      <c r="U50" s="220">
        <f>IF(U$44=0,0,(Malla!$K$87+Malla!$W$95)/U$44)</f>
        <v>0</v>
      </c>
      <c r="V50" s="221">
        <f t="shared" ref="V50" si="39">+V$44*U50</f>
        <v>0</v>
      </c>
      <c r="W50" s="220">
        <f>IF(W$44=0,0,(Malla!$K$95+Malla!$W$103)/W$44)</f>
        <v>0</v>
      </c>
      <c r="X50" s="221">
        <f t="shared" ref="X50" si="40">+X$44*W50</f>
        <v>0</v>
      </c>
      <c r="Y50" s="220">
        <f>IF(Y$44=0,0,(Malla!$K$103)/Y$44)</f>
        <v>0</v>
      </c>
      <c r="Z50" s="221">
        <f t="shared" ref="Z50" si="41">+Z$44*Y50</f>
        <v>0</v>
      </c>
      <c r="AA50" s="220">
        <f>IF(AA$44=0,0,(Malla!$K$103)/AA$44)</f>
        <v>0</v>
      </c>
      <c r="AB50" s="221">
        <f t="shared" ref="AB50" si="42">+AB$44*AA50</f>
        <v>0</v>
      </c>
      <c r="AC50" s="220">
        <f>IF(AC$44=0,0,(Malla!$K$103)/AC$44)</f>
        <v>0</v>
      </c>
      <c r="AD50" s="221">
        <f t="shared" ref="AD50" si="43">+AD$44*AC50</f>
        <v>0</v>
      </c>
    </row>
    <row r="51" spans="2:30" x14ac:dyDescent="0.2">
      <c r="B51" s="221" t="s">
        <v>314</v>
      </c>
      <c r="C51" s="220">
        <f>1-C48-C49-C50</f>
        <v>1</v>
      </c>
      <c r="D51" s="221">
        <f t="shared" si="19"/>
        <v>0</v>
      </c>
      <c r="E51" s="220">
        <f>1-E48-E49-E50</f>
        <v>1</v>
      </c>
      <c r="F51" s="221">
        <f t="shared" si="19"/>
        <v>0</v>
      </c>
      <c r="G51" s="220">
        <f>1-G48-G49-G50</f>
        <v>1</v>
      </c>
      <c r="H51" s="221">
        <f t="shared" ref="H51" si="44">+H$44*G51</f>
        <v>0</v>
      </c>
      <c r="I51" s="220">
        <f>1-I48-I49-I50</f>
        <v>1</v>
      </c>
      <c r="J51" s="221">
        <f t="shared" ref="J51" si="45">+J$44*I51</f>
        <v>0</v>
      </c>
      <c r="K51" s="220">
        <f>1-K48-K49-K50</f>
        <v>1</v>
      </c>
      <c r="L51" s="221">
        <f t="shared" ref="L51" si="46">+L$44*K51</f>
        <v>0</v>
      </c>
      <c r="M51" s="220">
        <f>1-M48-M49-M50</f>
        <v>1</v>
      </c>
      <c r="N51" s="221">
        <f t="shared" ref="N51" si="47">+N$44*M51</f>
        <v>0</v>
      </c>
      <c r="O51" s="220">
        <f>1-O48-O49-O50</f>
        <v>1</v>
      </c>
      <c r="P51" s="221">
        <f t="shared" ref="P51" si="48">+P$44*O51</f>
        <v>0</v>
      </c>
      <c r="Q51" s="220">
        <f>1-Q48-Q49-Q50</f>
        <v>1</v>
      </c>
      <c r="R51" s="221">
        <f t="shared" ref="R51" si="49">+R$44*Q51</f>
        <v>0</v>
      </c>
      <c r="S51" s="220">
        <f>1-S48-S49-S50</f>
        <v>1</v>
      </c>
      <c r="T51" s="221">
        <f t="shared" ref="T51" si="50">+T$44*S51</f>
        <v>0</v>
      </c>
      <c r="U51" s="220">
        <f>1-U48-U49-U50</f>
        <v>1</v>
      </c>
      <c r="V51" s="221">
        <f t="shared" ref="V51" si="51">+V$44*U51</f>
        <v>0</v>
      </c>
      <c r="W51" s="220">
        <f>1-W48-W49-W50</f>
        <v>1</v>
      </c>
      <c r="X51" s="221">
        <f t="shared" ref="X51" si="52">+X$44*W51</f>
        <v>0</v>
      </c>
      <c r="Y51" s="220">
        <f>1-Y48-Y49-Y50</f>
        <v>1</v>
      </c>
      <c r="Z51" s="221">
        <f t="shared" ref="Z51" si="53">+Z$44*Y51</f>
        <v>0</v>
      </c>
      <c r="AA51" s="220">
        <f>1-AA48-AA49-AA50</f>
        <v>1</v>
      </c>
      <c r="AB51" s="221">
        <f t="shared" ref="AB51" si="54">+AB$44*AA51</f>
        <v>0</v>
      </c>
      <c r="AC51" s="220">
        <f>1-AC48-AC49-AC50</f>
        <v>1</v>
      </c>
      <c r="AD51" s="221">
        <f t="shared" ref="AD51" si="55">+AD$44*AC51</f>
        <v>0</v>
      </c>
    </row>
    <row r="52" spans="2:30" ht="15" x14ac:dyDescent="0.25">
      <c r="B52" s="224" t="s">
        <v>189</v>
      </c>
      <c r="C52" s="225">
        <f t="shared" ref="C52:V52" si="56">SUM(C48:C51)</f>
        <v>1</v>
      </c>
      <c r="D52" s="226">
        <f t="shared" si="56"/>
        <v>0</v>
      </c>
      <c r="E52" s="225">
        <f t="shared" si="56"/>
        <v>1</v>
      </c>
      <c r="F52" s="226">
        <f t="shared" si="56"/>
        <v>0</v>
      </c>
      <c r="G52" s="225">
        <f t="shared" si="56"/>
        <v>1</v>
      </c>
      <c r="H52" s="226">
        <f t="shared" si="56"/>
        <v>0</v>
      </c>
      <c r="I52" s="225">
        <f t="shared" si="56"/>
        <v>1</v>
      </c>
      <c r="J52" s="226">
        <f t="shared" si="56"/>
        <v>0</v>
      </c>
      <c r="K52" s="225">
        <f t="shared" si="56"/>
        <v>1</v>
      </c>
      <c r="L52" s="226">
        <f t="shared" si="56"/>
        <v>0</v>
      </c>
      <c r="M52" s="225">
        <f t="shared" si="56"/>
        <v>1</v>
      </c>
      <c r="N52" s="226">
        <f t="shared" si="56"/>
        <v>0</v>
      </c>
      <c r="O52" s="225">
        <f t="shared" si="56"/>
        <v>1</v>
      </c>
      <c r="P52" s="226">
        <f t="shared" si="56"/>
        <v>0</v>
      </c>
      <c r="Q52" s="225">
        <f t="shared" si="56"/>
        <v>1</v>
      </c>
      <c r="R52" s="226">
        <f t="shared" si="56"/>
        <v>0</v>
      </c>
      <c r="S52" s="225">
        <f t="shared" si="56"/>
        <v>1</v>
      </c>
      <c r="T52" s="226">
        <f t="shared" si="56"/>
        <v>0</v>
      </c>
      <c r="U52" s="225">
        <f t="shared" si="56"/>
        <v>1</v>
      </c>
      <c r="V52" s="226">
        <f t="shared" si="56"/>
        <v>0</v>
      </c>
      <c r="W52" s="225">
        <f t="shared" ref="W52:AD52" si="57">SUM(W48:W51)</f>
        <v>1</v>
      </c>
      <c r="X52" s="226">
        <f t="shared" si="57"/>
        <v>0</v>
      </c>
      <c r="Y52" s="225">
        <f t="shared" si="57"/>
        <v>1</v>
      </c>
      <c r="Z52" s="226">
        <f t="shared" si="57"/>
        <v>0</v>
      </c>
      <c r="AA52" s="225">
        <f t="shared" si="57"/>
        <v>1</v>
      </c>
      <c r="AB52" s="226">
        <f t="shared" si="57"/>
        <v>0</v>
      </c>
      <c r="AC52" s="225">
        <f t="shared" si="57"/>
        <v>1</v>
      </c>
      <c r="AD52" s="226">
        <f t="shared" si="57"/>
        <v>0</v>
      </c>
    </row>
    <row r="54" spans="2:30" ht="15" x14ac:dyDescent="0.25">
      <c r="B54" s="221"/>
      <c r="C54" s="488" t="s">
        <v>338</v>
      </c>
      <c r="D54" s="488"/>
      <c r="E54" s="488"/>
      <c r="F54" s="488"/>
      <c r="G54" s="488"/>
      <c r="H54" s="488"/>
      <c r="I54" s="488"/>
      <c r="J54" s="488"/>
      <c r="K54" s="488"/>
      <c r="L54" s="488"/>
      <c r="M54" s="488"/>
      <c r="N54" s="488"/>
      <c r="O54" s="488"/>
      <c r="P54" s="488"/>
      <c r="Q54" s="488"/>
      <c r="R54" s="488"/>
      <c r="S54" s="488"/>
      <c r="T54" s="488"/>
      <c r="U54" s="488"/>
      <c r="V54" s="488"/>
      <c r="W54" s="488"/>
      <c r="X54" s="488"/>
      <c r="Y54" s="488"/>
      <c r="Z54" s="488"/>
      <c r="AA54" s="488"/>
      <c r="AB54" s="488"/>
      <c r="AC54" s="488"/>
      <c r="AD54" s="488"/>
    </row>
    <row r="55" spans="2:30" x14ac:dyDescent="0.2">
      <c r="B55" s="219" t="s">
        <v>311</v>
      </c>
      <c r="C55" s="221"/>
      <c r="D55" s="221">
        <f>D48*TARIFAS!$O13</f>
        <v>0</v>
      </c>
      <c r="E55" s="221"/>
      <c r="F55" s="221">
        <f>F48*TARIFAS!$O13</f>
        <v>0</v>
      </c>
      <c r="G55" s="221"/>
      <c r="H55" s="221">
        <f>H48*TARIFAS!$O13</f>
        <v>0</v>
      </c>
      <c r="I55" s="221"/>
      <c r="J55" s="221">
        <f>J48*TARIFAS!$O13</f>
        <v>0</v>
      </c>
      <c r="K55" s="221"/>
      <c r="L55" s="221">
        <f>L48*TARIFAS!$O13</f>
        <v>0</v>
      </c>
      <c r="M55" s="221"/>
      <c r="N55" s="221">
        <f>N48*TARIFAS!$O13</f>
        <v>0</v>
      </c>
      <c r="O55" s="221"/>
      <c r="P55" s="221">
        <f>P48*TARIFAS!$O13</f>
        <v>0</v>
      </c>
      <c r="Q55" s="221"/>
      <c r="R55" s="221">
        <f>R48*TARIFAS!$O13</f>
        <v>0</v>
      </c>
      <c r="S55" s="221"/>
      <c r="T55" s="221">
        <f>T48*TARIFAS!$O13</f>
        <v>0</v>
      </c>
      <c r="U55" s="221"/>
      <c r="V55" s="221">
        <f>V48*TARIFAS!$O13</f>
        <v>0</v>
      </c>
      <c r="W55" s="221"/>
      <c r="X55" s="221">
        <f>X48*TARIFAS!$O13</f>
        <v>0</v>
      </c>
      <c r="Y55" s="221"/>
      <c r="Z55" s="221">
        <f>Z48*TARIFAS!$O13</f>
        <v>0</v>
      </c>
      <c r="AA55" s="221"/>
      <c r="AB55" s="221">
        <f>AB48*TARIFAS!$O13</f>
        <v>0</v>
      </c>
      <c r="AC55" s="221"/>
      <c r="AD55" s="221">
        <f>AD48*TARIFAS!$O13</f>
        <v>0</v>
      </c>
    </row>
    <row r="56" spans="2:30" x14ac:dyDescent="0.2">
      <c r="B56" s="222" t="s">
        <v>312</v>
      </c>
      <c r="C56" s="221"/>
      <c r="D56" s="221">
        <f>D49*TARIFAS!$O14</f>
        <v>0</v>
      </c>
      <c r="E56" s="221"/>
      <c r="F56" s="221">
        <f>F49*TARIFAS!$O14</f>
        <v>0</v>
      </c>
      <c r="G56" s="221"/>
      <c r="H56" s="221">
        <f>H49*TARIFAS!$O14</f>
        <v>0</v>
      </c>
      <c r="I56" s="221"/>
      <c r="J56" s="221">
        <f>J49*TARIFAS!$O14</f>
        <v>0</v>
      </c>
      <c r="K56" s="221"/>
      <c r="L56" s="221">
        <f>L49*TARIFAS!$O14</f>
        <v>0</v>
      </c>
      <c r="M56" s="221"/>
      <c r="N56" s="221">
        <f>N49*TARIFAS!$O14</f>
        <v>0</v>
      </c>
      <c r="O56" s="221"/>
      <c r="P56" s="221">
        <f>P49*TARIFAS!$O14</f>
        <v>0</v>
      </c>
      <c r="Q56" s="221"/>
      <c r="R56" s="221">
        <f>R49*TARIFAS!$O14</f>
        <v>0</v>
      </c>
      <c r="S56" s="221"/>
      <c r="T56" s="221">
        <f>T49*TARIFAS!$O14</f>
        <v>0</v>
      </c>
      <c r="U56" s="221"/>
      <c r="V56" s="221">
        <f>V49*TARIFAS!$O14</f>
        <v>0</v>
      </c>
      <c r="W56" s="221"/>
      <c r="X56" s="221">
        <f>X49*TARIFAS!$O14</f>
        <v>0</v>
      </c>
      <c r="Y56" s="221"/>
      <c r="Z56" s="221">
        <f>Z49*TARIFAS!$O14</f>
        <v>0</v>
      </c>
      <c r="AA56" s="221"/>
      <c r="AB56" s="221">
        <f>AB49*TARIFAS!$O14</f>
        <v>0</v>
      </c>
      <c r="AC56" s="221"/>
      <c r="AD56" s="221">
        <f>AD49*TARIFAS!$O14</f>
        <v>0</v>
      </c>
    </row>
    <row r="57" spans="2:30" x14ac:dyDescent="0.2">
      <c r="B57" s="223" t="s">
        <v>313</v>
      </c>
      <c r="C57" s="221"/>
      <c r="D57" s="221">
        <f>D50*TARIFAS!$O15</f>
        <v>0</v>
      </c>
      <c r="E57" s="221"/>
      <c r="F57" s="221">
        <f>F50*TARIFAS!$O15</f>
        <v>0</v>
      </c>
      <c r="G57" s="221"/>
      <c r="H57" s="221">
        <f>H50*TARIFAS!$O15</f>
        <v>0</v>
      </c>
      <c r="I57" s="221"/>
      <c r="J57" s="221">
        <f>J50*TARIFAS!$O15</f>
        <v>0</v>
      </c>
      <c r="K57" s="221"/>
      <c r="L57" s="221">
        <f>L50*TARIFAS!$O15</f>
        <v>0</v>
      </c>
      <c r="M57" s="221"/>
      <c r="N57" s="221">
        <f>N50*TARIFAS!$O15</f>
        <v>0</v>
      </c>
      <c r="O57" s="221"/>
      <c r="P57" s="221">
        <f>P50*TARIFAS!$O15</f>
        <v>0</v>
      </c>
      <c r="Q57" s="221"/>
      <c r="R57" s="221">
        <f>R50*TARIFAS!$O15</f>
        <v>0</v>
      </c>
      <c r="S57" s="221"/>
      <c r="T57" s="221">
        <f>T50*TARIFAS!$O15</f>
        <v>0</v>
      </c>
      <c r="U57" s="221"/>
      <c r="V57" s="221">
        <f>V50*TARIFAS!$O15</f>
        <v>0</v>
      </c>
      <c r="W57" s="221"/>
      <c r="X57" s="221">
        <f>X50*TARIFAS!$O15</f>
        <v>0</v>
      </c>
      <c r="Y57" s="221"/>
      <c r="Z57" s="221">
        <f>Z50*TARIFAS!$O15</f>
        <v>0</v>
      </c>
      <c r="AA57" s="221"/>
      <c r="AB57" s="221">
        <f>AB50*TARIFAS!$O15</f>
        <v>0</v>
      </c>
      <c r="AC57" s="221"/>
      <c r="AD57" s="221">
        <f>AD50*TARIFAS!$O15</f>
        <v>0</v>
      </c>
    </row>
    <row r="58" spans="2:30" ht="15" x14ac:dyDescent="0.25">
      <c r="B58" s="224" t="s">
        <v>189</v>
      </c>
      <c r="C58" s="227"/>
      <c r="D58" s="226">
        <f>SUM(D55:D57)</f>
        <v>0</v>
      </c>
      <c r="E58" s="226"/>
      <c r="F58" s="226">
        <f>SUM(F55:F57)</f>
        <v>0</v>
      </c>
      <c r="G58" s="227"/>
      <c r="H58" s="226">
        <f>SUM(H55:H57)</f>
        <v>0</v>
      </c>
      <c r="I58" s="226"/>
      <c r="J58" s="226">
        <f>SUM(J55:J57)</f>
        <v>0</v>
      </c>
      <c r="K58" s="227"/>
      <c r="L58" s="226">
        <f>SUM(L55:L57)</f>
        <v>0</v>
      </c>
      <c r="M58" s="226"/>
      <c r="N58" s="226">
        <f>SUM(N55:N57)</f>
        <v>0</v>
      </c>
      <c r="O58" s="227"/>
      <c r="P58" s="226">
        <f>SUM(P55:P57)</f>
        <v>0</v>
      </c>
      <c r="Q58" s="226"/>
      <c r="R58" s="226">
        <f>SUM(R55:R57)</f>
        <v>0</v>
      </c>
      <c r="S58" s="227"/>
      <c r="T58" s="226">
        <f>SUM(T55:T57)</f>
        <v>0</v>
      </c>
      <c r="U58" s="226"/>
      <c r="V58" s="226">
        <f>SUM(V55:V57)</f>
        <v>0</v>
      </c>
      <c r="W58" s="227"/>
      <c r="X58" s="226">
        <f>SUM(X55:X57)</f>
        <v>0</v>
      </c>
      <c r="Y58" s="226"/>
      <c r="Z58" s="226">
        <f>SUM(Z55:Z57)</f>
        <v>0</v>
      </c>
      <c r="AA58" s="227"/>
      <c r="AB58" s="226">
        <f>SUM(AB55:AB57)</f>
        <v>0</v>
      </c>
      <c r="AC58" s="226"/>
      <c r="AD58" s="226">
        <f>SUM(AD55:AD57)</f>
        <v>0</v>
      </c>
    </row>
  </sheetData>
  <mergeCells count="47">
    <mergeCell ref="K9:L9"/>
    <mergeCell ref="U30:V30"/>
    <mergeCell ref="B9:B10"/>
    <mergeCell ref="B30:B31"/>
    <mergeCell ref="AA30:AB30"/>
    <mergeCell ref="M9:N9"/>
    <mergeCell ref="C9:D9"/>
    <mergeCell ref="E9:F9"/>
    <mergeCell ref="G9:H9"/>
    <mergeCell ref="P8:R10"/>
    <mergeCell ref="M30:N30"/>
    <mergeCell ref="G30:H30"/>
    <mergeCell ref="K30:L30"/>
    <mergeCell ref="B8:N8"/>
    <mergeCell ref="B29:AD29"/>
    <mergeCell ref="AC30:AD30"/>
    <mergeCell ref="I30:J30"/>
    <mergeCell ref="AN28:AT28"/>
    <mergeCell ref="AN30:AP30"/>
    <mergeCell ref="AQ30:AQ31"/>
    <mergeCell ref="AJ29:AL29"/>
    <mergeCell ref="AJ30:AJ31"/>
    <mergeCell ref="AK30:AK31"/>
    <mergeCell ref="AL30:AL31"/>
    <mergeCell ref="C30:D30"/>
    <mergeCell ref="I9:J9"/>
    <mergeCell ref="C54:AD54"/>
    <mergeCell ref="AR29:AT29"/>
    <mergeCell ref="AR30:AR31"/>
    <mergeCell ref="AS30:AS31"/>
    <mergeCell ref="AT30:AT31"/>
    <mergeCell ref="O30:P30"/>
    <mergeCell ref="Q30:R30"/>
    <mergeCell ref="W30:X30"/>
    <mergeCell ref="Y30:Z30"/>
    <mergeCell ref="S30:T30"/>
    <mergeCell ref="C47:AD47"/>
    <mergeCell ref="AI30:AI31"/>
    <mergeCell ref="AF30:AH30"/>
    <mergeCell ref="E30:F30"/>
    <mergeCell ref="AP2:AT2"/>
    <mergeCell ref="AP3:AT3"/>
    <mergeCell ref="AP4:AT4"/>
    <mergeCell ref="B2:H4"/>
    <mergeCell ref="I2:O4"/>
    <mergeCell ref="P2:AO3"/>
    <mergeCell ref="P4:AO4"/>
  </mergeCells>
  <phoneticPr fontId="12" type="noConversion"/>
  <printOptions horizontalCentered="1"/>
  <pageMargins left="0.11811023622047245" right="0.11811023622047245" top="0.15748031496062992" bottom="0.15748031496062992" header="0.31496062992125984" footer="0.31496062992125984"/>
  <pageSetup paperSize="5" scale="9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107"/>
  <sheetViews>
    <sheetView showGridLines="0" zoomScale="90" zoomScaleNormal="90" workbookViewId="0">
      <pane xSplit="1" ySplit="9" topLeftCell="B10" activePane="bottomRight" state="frozen"/>
      <selection pane="topRight" activeCell="B1" sqref="B1"/>
      <selection pane="bottomLeft" activeCell="A4" sqref="A4"/>
      <selection pane="bottomRight" activeCell="AB11" sqref="AB11"/>
    </sheetView>
  </sheetViews>
  <sheetFormatPr baseColWidth="10" defaultColWidth="11.42578125" defaultRowHeight="14.25" x14ac:dyDescent="0.2"/>
  <cols>
    <col min="1" max="1" width="2.85546875" style="61" customWidth="1"/>
    <col min="2" max="2" width="3.7109375" style="61" customWidth="1"/>
    <col min="3" max="3" width="39.140625" style="140" customWidth="1"/>
    <col min="4" max="7" width="7.28515625" style="141" customWidth="1"/>
    <col min="8" max="8" width="5.5703125" style="61" customWidth="1"/>
    <col min="9" max="12" width="6.28515625" style="61" customWidth="1"/>
    <col min="13" max="13" width="4.28515625" style="61" customWidth="1"/>
    <col min="14" max="14" width="5" style="61" customWidth="1"/>
    <col min="15" max="15" width="43.5703125" style="140" customWidth="1"/>
    <col min="16" max="19" width="6.7109375" style="141" customWidth="1"/>
    <col min="20" max="20" width="4.28515625" style="61" customWidth="1"/>
    <col min="21" max="24" width="6.28515625" style="61" customWidth="1"/>
    <col min="25" max="25" width="3.140625" style="61" customWidth="1"/>
    <col min="26" max="26" width="11.42578125" style="61"/>
    <col min="27" max="30" width="5.7109375" style="142" customWidth="1"/>
    <col min="31" max="16384" width="11.42578125" style="61"/>
  </cols>
  <sheetData>
    <row r="1" spans="2:29" customFormat="1" ht="15" x14ac:dyDescent="0.25"/>
    <row r="2" spans="2:29" ht="33.75" customHeight="1" x14ac:dyDescent="0.2">
      <c r="B2" s="510" t="e" vm="1">
        <v>#VALUE!</v>
      </c>
      <c r="C2" s="511"/>
      <c r="D2" s="516" t="e" vm="2">
        <v>#VALUE!</v>
      </c>
      <c r="E2" s="517"/>
      <c r="F2" s="517"/>
      <c r="G2" s="517"/>
      <c r="H2" s="517"/>
      <c r="I2" s="518"/>
      <c r="J2" s="531" t="s">
        <v>460</v>
      </c>
      <c r="K2" s="517"/>
      <c r="L2" s="517"/>
      <c r="M2" s="517"/>
      <c r="N2" s="517"/>
      <c r="O2" s="518"/>
      <c r="P2" s="525" t="s">
        <v>459</v>
      </c>
      <c r="Q2" s="526"/>
      <c r="R2" s="526"/>
      <c r="S2" s="527"/>
    </row>
    <row r="3" spans="2:29" ht="33.75" customHeight="1" x14ac:dyDescent="0.2">
      <c r="B3" s="512"/>
      <c r="C3" s="513"/>
      <c r="D3" s="519"/>
      <c r="E3" s="520"/>
      <c r="F3" s="520"/>
      <c r="G3" s="520"/>
      <c r="H3" s="520"/>
      <c r="I3" s="521"/>
      <c r="J3" s="522"/>
      <c r="K3" s="523"/>
      <c r="L3" s="523"/>
      <c r="M3" s="523"/>
      <c r="N3" s="523"/>
      <c r="O3" s="524"/>
      <c r="P3" s="525" t="s">
        <v>482</v>
      </c>
      <c r="Q3" s="526"/>
      <c r="R3" s="526"/>
      <c r="S3" s="527"/>
    </row>
    <row r="4" spans="2:29" ht="33.75" customHeight="1" x14ac:dyDescent="0.2">
      <c r="B4" s="514"/>
      <c r="C4" s="515"/>
      <c r="D4" s="522"/>
      <c r="E4" s="523"/>
      <c r="F4" s="523"/>
      <c r="G4" s="523"/>
      <c r="H4" s="523"/>
      <c r="I4" s="524"/>
      <c r="J4" s="532" t="s">
        <v>461</v>
      </c>
      <c r="K4" s="533"/>
      <c r="L4" s="533"/>
      <c r="M4" s="533"/>
      <c r="N4" s="533"/>
      <c r="O4" s="534"/>
      <c r="P4" s="528" t="s">
        <v>479</v>
      </c>
      <c r="Q4" s="529"/>
      <c r="R4" s="529"/>
      <c r="S4" s="530"/>
    </row>
    <row r="7" spans="2:29" ht="17.25" customHeight="1" thickBot="1" x14ac:dyDescent="0.25">
      <c r="C7" s="542" t="s">
        <v>449</v>
      </c>
      <c r="D7" s="542"/>
      <c r="E7" s="542"/>
      <c r="F7" s="542"/>
      <c r="G7" s="542"/>
      <c r="H7" s="542"/>
      <c r="I7" s="542"/>
      <c r="J7" s="542"/>
      <c r="K7" s="542"/>
      <c r="L7" s="542"/>
      <c r="M7" s="542"/>
      <c r="N7" s="542"/>
      <c r="O7" s="542"/>
      <c r="P7" s="542"/>
      <c r="Q7" s="542"/>
      <c r="R7" s="542"/>
      <c r="S7" s="542"/>
    </row>
    <row r="8" spans="2:29" ht="15.75" thickBot="1" x14ac:dyDescent="0.3">
      <c r="B8" s="536" t="s">
        <v>450</v>
      </c>
      <c r="C8" s="537"/>
      <c r="D8" s="537"/>
      <c r="E8" s="537"/>
      <c r="F8" s="537"/>
      <c r="G8" s="538"/>
      <c r="N8" s="536" t="s">
        <v>451</v>
      </c>
      <c r="O8" s="537"/>
      <c r="P8" s="537"/>
      <c r="Q8" s="537"/>
      <c r="R8" s="537"/>
      <c r="S8" s="538"/>
    </row>
    <row r="9" spans="2:29" ht="78.75" customHeight="1" thickBot="1" x14ac:dyDescent="0.25">
      <c r="B9" s="144" t="s">
        <v>283</v>
      </c>
      <c r="C9" s="145" t="s">
        <v>371</v>
      </c>
      <c r="D9" s="146" t="s">
        <v>374</v>
      </c>
      <c r="E9" s="146" t="s">
        <v>372</v>
      </c>
      <c r="F9" s="147" t="s">
        <v>375</v>
      </c>
      <c r="G9" s="148" t="s">
        <v>373</v>
      </c>
      <c r="I9" s="149" t="s">
        <v>311</v>
      </c>
      <c r="J9" s="149" t="s">
        <v>312</v>
      </c>
      <c r="K9" s="149" t="s">
        <v>313</v>
      </c>
      <c r="L9" s="149" t="s">
        <v>314</v>
      </c>
      <c r="N9" s="257" t="s">
        <v>283</v>
      </c>
      <c r="O9" s="258" t="s">
        <v>371</v>
      </c>
      <c r="P9" s="256" t="s">
        <v>374</v>
      </c>
      <c r="Q9" s="256" t="s">
        <v>372</v>
      </c>
      <c r="R9" s="259" t="s">
        <v>375</v>
      </c>
      <c r="S9" s="260" t="s">
        <v>373</v>
      </c>
      <c r="U9" s="149" t="s">
        <v>311</v>
      </c>
      <c r="V9" s="149" t="s">
        <v>312</v>
      </c>
      <c r="W9" s="149" t="s">
        <v>313</v>
      </c>
      <c r="X9" s="149" t="s">
        <v>314</v>
      </c>
      <c r="Y9" s="149"/>
    </row>
    <row r="10" spans="2:29" ht="15" x14ac:dyDescent="0.25">
      <c r="B10" s="539">
        <v>1</v>
      </c>
      <c r="C10" s="293"/>
      <c r="D10" s="293"/>
      <c r="E10" s="294"/>
      <c r="F10" s="293"/>
      <c r="G10" s="295"/>
      <c r="I10" s="535" t="s">
        <v>377</v>
      </c>
      <c r="J10" s="535"/>
      <c r="K10" s="535"/>
      <c r="L10" s="535"/>
      <c r="N10" s="539">
        <v>1</v>
      </c>
      <c r="O10" s="294"/>
      <c r="P10" s="294"/>
      <c r="Q10" s="294"/>
      <c r="R10" s="293"/>
      <c r="S10" s="295"/>
      <c r="U10" s="535" t="s">
        <v>377</v>
      </c>
      <c r="V10" s="535"/>
      <c r="W10" s="535"/>
      <c r="X10" s="535"/>
      <c r="AA10" s="308" t="s">
        <v>465</v>
      </c>
      <c r="AB10" s="308" t="s">
        <v>466</v>
      </c>
      <c r="AC10" s="308" t="s">
        <v>311</v>
      </c>
    </row>
    <row r="11" spans="2:29" ht="15" x14ac:dyDescent="0.25">
      <c r="B11" s="540"/>
      <c r="C11" s="296"/>
      <c r="D11" s="297"/>
      <c r="E11" s="297"/>
      <c r="F11" s="297"/>
      <c r="G11" s="298"/>
      <c r="I11" s="151">
        <f>SUMIF($G10:$G17,I$9,$F10:$F17)+SUMIFS($F10:$F17,$G10:$G17,I$9,$E10:$E17,$AB$11)</f>
        <v>0</v>
      </c>
      <c r="J11" s="151">
        <f t="shared" ref="J11:L11" si="0">SUMIF($G10:$G17,J$9,$F10:$F17)+SUMIFS($F10:$F17,$G10:$G17,J$9,$E10:$E17,$AB$11)</f>
        <v>0</v>
      </c>
      <c r="K11" s="151">
        <f t="shared" si="0"/>
        <v>0</v>
      </c>
      <c r="L11" s="151">
        <f t="shared" si="0"/>
        <v>0</v>
      </c>
      <c r="N11" s="540"/>
      <c r="O11" s="297"/>
      <c r="P11" s="297"/>
      <c r="Q11" s="297"/>
      <c r="R11" s="297"/>
      <c r="S11" s="298"/>
      <c r="U11" s="151">
        <f>SUMIF($S10:$S17,U$9,$R10:$R17)+SUMIFS($R10:$R17,$S10:$S17,U$9,$Q10:$Q17,$AB$11)</f>
        <v>0</v>
      </c>
      <c r="V11" s="151">
        <f t="shared" ref="V11:X11" si="1">SUMIF($S10:$S17,V$9,$R10:$R17)+SUMIFS($R10:$R17,$S10:$S17,V$9,$Q10:$Q17,$AB$11)</f>
        <v>0</v>
      </c>
      <c r="W11" s="151">
        <f t="shared" si="1"/>
        <v>0</v>
      </c>
      <c r="X11" s="151">
        <f t="shared" si="1"/>
        <v>0</v>
      </c>
      <c r="AA11" s="308" t="s">
        <v>467</v>
      </c>
      <c r="AB11" s="308" t="s">
        <v>468</v>
      </c>
      <c r="AC11" s="308" t="s">
        <v>312</v>
      </c>
    </row>
    <row r="12" spans="2:29" ht="15" x14ac:dyDescent="0.25">
      <c r="B12" s="540"/>
      <c r="C12" s="296"/>
      <c r="D12" s="297"/>
      <c r="E12" s="297"/>
      <c r="F12" s="297"/>
      <c r="G12" s="298"/>
      <c r="I12" s="535" t="s">
        <v>378</v>
      </c>
      <c r="J12" s="535"/>
      <c r="K12" s="535"/>
      <c r="L12" s="535"/>
      <c r="N12" s="540"/>
      <c r="O12" s="297"/>
      <c r="P12" s="297"/>
      <c r="Q12" s="297"/>
      <c r="R12" s="297"/>
      <c r="S12" s="298"/>
      <c r="U12" s="535" t="s">
        <v>378</v>
      </c>
      <c r="V12" s="535"/>
      <c r="W12" s="535"/>
      <c r="X12" s="535"/>
      <c r="AA12" s="308" t="s">
        <v>469</v>
      </c>
      <c r="AB12" s="308"/>
      <c r="AC12" s="308" t="s">
        <v>313</v>
      </c>
    </row>
    <row r="13" spans="2:29" ht="15" x14ac:dyDescent="0.25">
      <c r="B13" s="540"/>
      <c r="C13" s="296"/>
      <c r="D13" s="297"/>
      <c r="E13" s="297"/>
      <c r="F13" s="297"/>
      <c r="G13" s="298"/>
      <c r="I13" s="142">
        <f>I11*'ESTUDIANTES Y DOCENTES'!$AI$32</f>
        <v>0</v>
      </c>
      <c r="J13" s="142">
        <f>J11*'ESTUDIANTES Y DOCENTES'!$AI$32</f>
        <v>0</v>
      </c>
      <c r="K13" s="142">
        <f>K11*'ESTUDIANTES Y DOCENTES'!$AI$32</f>
        <v>0</v>
      </c>
      <c r="L13" s="142">
        <f>L11*'ESTUDIANTES Y DOCENTES'!$AI$32</f>
        <v>0</v>
      </c>
      <c r="N13" s="540"/>
      <c r="O13" s="297"/>
      <c r="P13" s="297"/>
      <c r="Q13" s="297"/>
      <c r="R13" s="297"/>
      <c r="S13" s="298"/>
      <c r="U13" s="142">
        <f>U11*'ESTUDIANTES Y DOCENTES'!$AQ$32</f>
        <v>0</v>
      </c>
      <c r="V13" s="142">
        <f>V11*'ESTUDIANTES Y DOCENTES'!$AQ$32</f>
        <v>0</v>
      </c>
      <c r="W13" s="142">
        <f>W11*'ESTUDIANTES Y DOCENTES'!$AQ$32</f>
        <v>0</v>
      </c>
      <c r="X13" s="142">
        <f>X11*'ESTUDIANTES Y DOCENTES'!$AQ$32</f>
        <v>0</v>
      </c>
      <c r="AA13" s="308"/>
      <c r="AB13" s="308"/>
      <c r="AC13" s="308" t="s">
        <v>314</v>
      </c>
    </row>
    <row r="14" spans="2:29" ht="15" x14ac:dyDescent="0.25">
      <c r="B14" s="540"/>
      <c r="C14" s="296"/>
      <c r="D14" s="297"/>
      <c r="E14" s="297"/>
      <c r="F14" s="297"/>
      <c r="G14" s="298"/>
      <c r="I14" s="535" t="s">
        <v>379</v>
      </c>
      <c r="J14" s="535"/>
      <c r="K14" s="535"/>
      <c r="L14" s="535"/>
      <c r="N14" s="540"/>
      <c r="O14" s="297"/>
      <c r="P14" s="297"/>
      <c r="Q14" s="297"/>
      <c r="R14" s="297"/>
      <c r="S14" s="298"/>
      <c r="U14" s="535" t="s">
        <v>380</v>
      </c>
      <c r="V14" s="535"/>
      <c r="W14" s="535"/>
      <c r="X14" s="535"/>
    </row>
    <row r="15" spans="2:29" x14ac:dyDescent="0.2">
      <c r="B15" s="540"/>
      <c r="C15" s="296"/>
      <c r="D15" s="297"/>
      <c r="E15" s="297"/>
      <c r="F15" s="297"/>
      <c r="G15" s="298"/>
      <c r="I15" s="142">
        <f>I13</f>
        <v>0</v>
      </c>
      <c r="J15" s="142">
        <f t="shared" ref="J15:L15" si="2">J13</f>
        <v>0</v>
      </c>
      <c r="K15" s="142">
        <f t="shared" si="2"/>
        <v>0</v>
      </c>
      <c r="L15" s="142">
        <f t="shared" si="2"/>
        <v>0</v>
      </c>
      <c r="N15" s="540"/>
      <c r="O15" s="297"/>
      <c r="P15" s="297"/>
      <c r="Q15" s="297"/>
      <c r="R15" s="297"/>
      <c r="S15" s="298"/>
      <c r="U15" s="142">
        <f>U23+U13</f>
        <v>0</v>
      </c>
      <c r="V15" s="142">
        <f t="shared" ref="V15:X15" si="3">V23+V13</f>
        <v>0</v>
      </c>
      <c r="W15" s="142">
        <f t="shared" si="3"/>
        <v>0</v>
      </c>
      <c r="X15" s="142">
        <f t="shared" si="3"/>
        <v>0</v>
      </c>
    </row>
    <row r="16" spans="2:29" x14ac:dyDescent="0.2">
      <c r="B16" s="540"/>
      <c r="C16" s="296"/>
      <c r="D16" s="297"/>
      <c r="E16" s="297"/>
      <c r="F16" s="297"/>
      <c r="G16" s="298"/>
      <c r="N16" s="540"/>
      <c r="O16" s="297"/>
      <c r="P16" s="297"/>
      <c r="Q16" s="297"/>
      <c r="R16" s="297"/>
      <c r="S16" s="298"/>
    </row>
    <row r="17" spans="2:25" ht="15" thickBot="1" x14ac:dyDescent="0.25">
      <c r="B17" s="541"/>
      <c r="C17" s="299"/>
      <c r="D17" s="299"/>
      <c r="E17" s="300"/>
      <c r="F17" s="299"/>
      <c r="G17" s="301"/>
      <c r="I17" s="151"/>
      <c r="J17" s="151"/>
      <c r="K17" s="151"/>
      <c r="L17" s="151"/>
      <c r="N17" s="541"/>
      <c r="O17" s="300"/>
      <c r="P17" s="300"/>
      <c r="Q17" s="300"/>
      <c r="R17" s="299"/>
      <c r="S17" s="301"/>
      <c r="Y17" s="142"/>
    </row>
    <row r="18" spans="2:25" ht="15" x14ac:dyDescent="0.25">
      <c r="B18" s="539">
        <v>2</v>
      </c>
      <c r="C18" s="293"/>
      <c r="D18" s="294"/>
      <c r="E18" s="294"/>
      <c r="F18" s="293"/>
      <c r="G18" s="295"/>
      <c r="I18" s="535" t="s">
        <v>377</v>
      </c>
      <c r="J18" s="535"/>
      <c r="K18" s="535"/>
      <c r="L18" s="535"/>
      <c r="N18" s="539">
        <v>2</v>
      </c>
      <c r="O18" s="293"/>
      <c r="P18" s="294"/>
      <c r="Q18" s="294"/>
      <c r="R18" s="293"/>
      <c r="S18" s="295"/>
      <c r="U18" s="535" t="s">
        <v>377</v>
      </c>
      <c r="V18" s="535"/>
      <c r="W18" s="535"/>
      <c r="X18" s="535"/>
    </row>
    <row r="19" spans="2:25" x14ac:dyDescent="0.2">
      <c r="B19" s="540"/>
      <c r="C19" s="296"/>
      <c r="D19" s="297"/>
      <c r="E19" s="297"/>
      <c r="F19" s="302"/>
      <c r="G19" s="298"/>
      <c r="I19" s="151">
        <f>SUMIF($G18:$G25,I$9,$F18:$F25)+SUMIFS($F18:$F25,$G18:$G25,I$9,$E18:$E25,$AB$11)</f>
        <v>0</v>
      </c>
      <c r="J19" s="151">
        <f t="shared" ref="J19" si="4">SUMIF($G18:$G25,J$9,$F18:$F25)+SUMIFS($F18:$F25,$G18:$G25,J$9,$E18:$E25,$AB$11)</f>
        <v>0</v>
      </c>
      <c r="K19" s="151">
        <f t="shared" ref="K19" si="5">SUMIF($G18:$G25,K$9,$F18:$F25)+SUMIFS($F18:$F25,$G18:$G25,K$9,$E18:$E25,$AB$11)</f>
        <v>0</v>
      </c>
      <c r="L19" s="151">
        <f t="shared" ref="L19" si="6">SUMIF($G18:$G25,L$9,$F18:$F25)+SUMIFS($F18:$F25,$G18:$G25,L$9,$E18:$E25,$AB$11)</f>
        <v>0</v>
      </c>
      <c r="N19" s="540"/>
      <c r="O19" s="296"/>
      <c r="P19" s="297"/>
      <c r="Q19" s="297"/>
      <c r="R19" s="297"/>
      <c r="S19" s="298"/>
      <c r="U19" s="151">
        <f>SUMIF($S18:$S25,U$9,$R18:$R25)+SUMIFS($R18:$R25,$S18:$S25,U$9,$Q18:$Q25,$AB$11)</f>
        <v>0</v>
      </c>
      <c r="V19" s="151">
        <f t="shared" ref="V19" si="7">SUMIF($S18:$S25,V$9,$R18:$R25)+SUMIFS($R18:$R25,$S18:$S25,V$9,$Q18:$Q25,$AB$11)</f>
        <v>0</v>
      </c>
      <c r="W19" s="151">
        <f t="shared" ref="W19" si="8">SUMIF($S18:$S25,W$9,$R18:$R25)+SUMIFS($R18:$R25,$S18:$S25,W$9,$Q18:$Q25,$AB$11)</f>
        <v>0</v>
      </c>
      <c r="X19" s="151">
        <f t="shared" ref="X19" si="9">SUMIF($S18:$S25,X$9,$R18:$R25)+SUMIFS($R18:$R25,$S18:$S25,X$9,$Q18:$Q25,$AB$11)</f>
        <v>0</v>
      </c>
    </row>
    <row r="20" spans="2:25" ht="15" x14ac:dyDescent="0.25">
      <c r="B20" s="540"/>
      <c r="C20" s="296"/>
      <c r="D20" s="297"/>
      <c r="E20" s="297"/>
      <c r="F20" s="302"/>
      <c r="G20" s="298"/>
      <c r="I20" s="535" t="s">
        <v>378</v>
      </c>
      <c r="J20" s="535"/>
      <c r="K20" s="535"/>
      <c r="L20" s="535"/>
      <c r="N20" s="540"/>
      <c r="O20" s="296"/>
      <c r="P20" s="297"/>
      <c r="Q20" s="297"/>
      <c r="R20" s="297"/>
      <c r="S20" s="298"/>
      <c r="U20" s="535" t="s">
        <v>378</v>
      </c>
      <c r="V20" s="535"/>
      <c r="W20" s="535"/>
      <c r="X20" s="535"/>
    </row>
    <row r="21" spans="2:25" x14ac:dyDescent="0.2">
      <c r="B21" s="540"/>
      <c r="C21" s="296"/>
      <c r="D21" s="297"/>
      <c r="E21" s="297"/>
      <c r="F21" s="302"/>
      <c r="G21" s="298"/>
      <c r="I21" s="142">
        <f>I19*'ESTUDIANTES Y DOCENTES'!$AI$33</f>
        <v>0</v>
      </c>
      <c r="J21" s="142">
        <f>J19*'ESTUDIANTES Y DOCENTES'!$AI$33</f>
        <v>0</v>
      </c>
      <c r="K21" s="142">
        <f>K19*'ESTUDIANTES Y DOCENTES'!$AI$33</f>
        <v>0</v>
      </c>
      <c r="L21" s="142">
        <f>L19*'ESTUDIANTES Y DOCENTES'!$AI$33</f>
        <v>0</v>
      </c>
      <c r="N21" s="540"/>
      <c r="O21" s="296"/>
      <c r="P21" s="297"/>
      <c r="Q21" s="297"/>
      <c r="R21" s="297"/>
      <c r="S21" s="298"/>
      <c r="U21" s="142">
        <f>U19*'ESTUDIANTES Y DOCENTES'!$AQ$33</f>
        <v>0</v>
      </c>
      <c r="V21" s="142">
        <f>V19*'ESTUDIANTES Y DOCENTES'!$AQ$33</f>
        <v>0</v>
      </c>
      <c r="W21" s="142">
        <f>W19*'ESTUDIANTES Y DOCENTES'!$AQ$33</f>
        <v>0</v>
      </c>
      <c r="X21" s="142">
        <f>X19*'ESTUDIANTES Y DOCENTES'!$AQ$33</f>
        <v>0</v>
      </c>
    </row>
    <row r="22" spans="2:25" ht="15" x14ac:dyDescent="0.25">
      <c r="B22" s="540"/>
      <c r="C22" s="296"/>
      <c r="D22" s="297"/>
      <c r="E22" s="297"/>
      <c r="F22" s="302"/>
      <c r="G22" s="298"/>
      <c r="I22" s="535" t="s">
        <v>379</v>
      </c>
      <c r="J22" s="535"/>
      <c r="K22" s="535"/>
      <c r="L22" s="535"/>
      <c r="N22" s="540"/>
      <c r="O22" s="296"/>
      <c r="P22" s="297"/>
      <c r="Q22" s="297"/>
      <c r="R22" s="297"/>
      <c r="S22" s="298"/>
      <c r="U22" s="535" t="s">
        <v>380</v>
      </c>
      <c r="V22" s="535"/>
      <c r="W22" s="535"/>
      <c r="X22" s="535"/>
    </row>
    <row r="23" spans="2:25" x14ac:dyDescent="0.2">
      <c r="B23" s="540"/>
      <c r="C23" s="296"/>
      <c r="D23" s="297"/>
      <c r="E23" s="297"/>
      <c r="F23" s="302"/>
      <c r="G23" s="298"/>
      <c r="I23" s="142">
        <f>I21+I15</f>
        <v>0</v>
      </c>
      <c r="J23" s="142">
        <f t="shared" ref="J23:L23" si="10">J21+J15</f>
        <v>0</v>
      </c>
      <c r="K23" s="142">
        <f t="shared" si="10"/>
        <v>0</v>
      </c>
      <c r="L23" s="142">
        <f t="shared" si="10"/>
        <v>0</v>
      </c>
      <c r="N23" s="540"/>
      <c r="O23" s="296"/>
      <c r="P23" s="297"/>
      <c r="Q23" s="297"/>
      <c r="R23" s="297"/>
      <c r="S23" s="298"/>
      <c r="U23" s="142">
        <f>U31+U21</f>
        <v>0</v>
      </c>
      <c r="V23" s="142">
        <f t="shared" ref="V23:X23" si="11">V31+V21</f>
        <v>0</v>
      </c>
      <c r="W23" s="142">
        <f t="shared" si="11"/>
        <v>0</v>
      </c>
      <c r="X23" s="142">
        <f t="shared" si="11"/>
        <v>0</v>
      </c>
    </row>
    <row r="24" spans="2:25" x14ac:dyDescent="0.2">
      <c r="B24" s="540"/>
      <c r="C24" s="296"/>
      <c r="D24" s="297"/>
      <c r="E24" s="297"/>
      <c r="F24" s="302"/>
      <c r="G24" s="298"/>
      <c r="N24" s="540"/>
      <c r="O24" s="296"/>
      <c r="P24" s="297"/>
      <c r="Q24" s="297"/>
      <c r="R24" s="297"/>
      <c r="S24" s="298"/>
    </row>
    <row r="25" spans="2:25" ht="15" thickBot="1" x14ac:dyDescent="0.25">
      <c r="B25" s="541"/>
      <c r="C25" s="299"/>
      <c r="D25" s="300"/>
      <c r="E25" s="300"/>
      <c r="F25" s="299"/>
      <c r="G25" s="301"/>
      <c r="I25" s="151"/>
      <c r="J25" s="151"/>
      <c r="K25" s="151"/>
      <c r="L25" s="151"/>
      <c r="N25" s="541"/>
      <c r="O25" s="299"/>
      <c r="P25" s="300"/>
      <c r="Q25" s="300"/>
      <c r="R25" s="299"/>
      <c r="S25" s="301"/>
      <c r="Y25" s="142"/>
    </row>
    <row r="26" spans="2:25" ht="15" x14ac:dyDescent="0.25">
      <c r="B26" s="539">
        <v>3</v>
      </c>
      <c r="C26" s="293"/>
      <c r="D26" s="294"/>
      <c r="E26" s="294"/>
      <c r="F26" s="293"/>
      <c r="G26" s="295"/>
      <c r="I26" s="535" t="s">
        <v>377</v>
      </c>
      <c r="J26" s="535"/>
      <c r="K26" s="535"/>
      <c r="L26" s="535"/>
      <c r="N26" s="539">
        <v>3</v>
      </c>
      <c r="O26" s="293"/>
      <c r="P26" s="294"/>
      <c r="Q26" s="294"/>
      <c r="R26" s="293"/>
      <c r="S26" s="295"/>
      <c r="U26" s="535" t="s">
        <v>377</v>
      </c>
      <c r="V26" s="535"/>
      <c r="W26" s="535"/>
      <c r="X26" s="535"/>
    </row>
    <row r="27" spans="2:25" x14ac:dyDescent="0.2">
      <c r="B27" s="540"/>
      <c r="C27" s="296"/>
      <c r="D27" s="297"/>
      <c r="E27" s="297"/>
      <c r="F27" s="297"/>
      <c r="G27" s="298"/>
      <c r="I27" s="151">
        <f>SUMIF($G26:$G33,I$9,$F26:$F33)+SUMIFS($F26:$F33,$G26:$G33,I$9,$E26:$E33,$AB$11)</f>
        <v>0</v>
      </c>
      <c r="J27" s="151">
        <f t="shared" ref="J27" si="12">SUMIF($G26:$G33,J$9,$F26:$F33)+SUMIFS($F26:$F33,$G26:$G33,J$9,$E26:$E33,$AB$11)</f>
        <v>0</v>
      </c>
      <c r="K27" s="151">
        <f t="shared" ref="K27" si="13">SUMIF($G26:$G33,K$9,$F26:$F33)+SUMIFS($F26:$F33,$G26:$G33,K$9,$E26:$E33,$AB$11)</f>
        <v>0</v>
      </c>
      <c r="L27" s="151">
        <f t="shared" ref="L27" si="14">SUMIF($G26:$G33,L$9,$F26:$F33)+SUMIFS($F26:$F33,$G26:$G33,L$9,$E26:$E33,$AB$11)</f>
        <v>0</v>
      </c>
      <c r="N27" s="540"/>
      <c r="O27" s="296"/>
      <c r="P27" s="297"/>
      <c r="Q27" s="297"/>
      <c r="R27" s="297"/>
      <c r="S27" s="298"/>
      <c r="U27" s="151">
        <f>SUMIF($S26:$S33,U$9,$R26:$R33)+SUMIFS($R26:$R33,$S26:$S33,U$9,$Q26:$Q33,$AB$11)</f>
        <v>0</v>
      </c>
      <c r="V27" s="151">
        <f t="shared" ref="V27" si="15">SUMIF($S26:$S33,V$9,$R26:$R33)+SUMIFS($R26:$R33,$S26:$S33,V$9,$Q26:$Q33,$AB$11)</f>
        <v>0</v>
      </c>
      <c r="W27" s="151">
        <f t="shared" ref="W27" si="16">SUMIF($S26:$S33,W$9,$R26:$R33)+SUMIFS($R26:$R33,$S26:$S33,W$9,$Q26:$Q33,$AB$11)</f>
        <v>0</v>
      </c>
      <c r="X27" s="151">
        <f t="shared" ref="X27" si="17">SUMIF($S26:$S33,X$9,$R26:$R33)+SUMIFS($R26:$R33,$S26:$S33,X$9,$Q26:$Q33,$AB$11)</f>
        <v>0</v>
      </c>
    </row>
    <row r="28" spans="2:25" ht="15" x14ac:dyDescent="0.25">
      <c r="B28" s="540"/>
      <c r="C28" s="296"/>
      <c r="D28" s="297"/>
      <c r="E28" s="297"/>
      <c r="F28" s="297"/>
      <c r="G28" s="298"/>
      <c r="I28" s="535" t="s">
        <v>378</v>
      </c>
      <c r="J28" s="535"/>
      <c r="K28" s="535"/>
      <c r="L28" s="535"/>
      <c r="N28" s="540"/>
      <c r="O28" s="296"/>
      <c r="P28" s="297"/>
      <c r="Q28" s="297"/>
      <c r="R28" s="297"/>
      <c r="S28" s="298"/>
      <c r="U28" s="535" t="s">
        <v>378</v>
      </c>
      <c r="V28" s="535"/>
      <c r="W28" s="535"/>
      <c r="X28" s="535"/>
    </row>
    <row r="29" spans="2:25" x14ac:dyDescent="0.2">
      <c r="B29" s="540"/>
      <c r="C29" s="296"/>
      <c r="D29" s="297"/>
      <c r="E29" s="297"/>
      <c r="F29" s="297"/>
      <c r="G29" s="298"/>
      <c r="I29" s="142">
        <f>I27*'ESTUDIANTES Y DOCENTES'!$AI$34</f>
        <v>0</v>
      </c>
      <c r="J29" s="142">
        <f>J27*'ESTUDIANTES Y DOCENTES'!$AI$34</f>
        <v>0</v>
      </c>
      <c r="K29" s="142">
        <f>K27*'ESTUDIANTES Y DOCENTES'!$AI$34</f>
        <v>0</v>
      </c>
      <c r="L29" s="142">
        <f>L27*'ESTUDIANTES Y DOCENTES'!$AI$34</f>
        <v>0</v>
      </c>
      <c r="N29" s="540"/>
      <c r="O29" s="296"/>
      <c r="P29" s="297"/>
      <c r="Q29" s="297"/>
      <c r="R29" s="297"/>
      <c r="S29" s="298"/>
      <c r="U29" s="142">
        <f>U27*'ESTUDIANTES Y DOCENTES'!$AQ$34</f>
        <v>0</v>
      </c>
      <c r="V29" s="142">
        <f>V27*'ESTUDIANTES Y DOCENTES'!$AQ$34</f>
        <v>0</v>
      </c>
      <c r="W29" s="142">
        <f>W27*'ESTUDIANTES Y DOCENTES'!$AQ$34</f>
        <v>0</v>
      </c>
      <c r="X29" s="142">
        <f>X27*'ESTUDIANTES Y DOCENTES'!$AQ$34</f>
        <v>0</v>
      </c>
    </row>
    <row r="30" spans="2:25" ht="15" x14ac:dyDescent="0.25">
      <c r="B30" s="540"/>
      <c r="C30" s="296"/>
      <c r="D30" s="297"/>
      <c r="E30" s="297"/>
      <c r="F30" s="297"/>
      <c r="G30" s="298"/>
      <c r="I30" s="535" t="s">
        <v>379</v>
      </c>
      <c r="J30" s="535"/>
      <c r="K30" s="535"/>
      <c r="L30" s="535"/>
      <c r="N30" s="540"/>
      <c r="O30" s="296"/>
      <c r="P30" s="297"/>
      <c r="Q30" s="297"/>
      <c r="R30" s="297"/>
      <c r="S30" s="298"/>
      <c r="U30" s="535" t="s">
        <v>380</v>
      </c>
      <c r="V30" s="535"/>
      <c r="W30" s="535"/>
      <c r="X30" s="535"/>
    </row>
    <row r="31" spans="2:25" x14ac:dyDescent="0.2">
      <c r="B31" s="540"/>
      <c r="C31" s="296"/>
      <c r="D31" s="297"/>
      <c r="E31" s="297"/>
      <c r="F31" s="297"/>
      <c r="G31" s="298"/>
      <c r="I31" s="142">
        <f>I29+I23</f>
        <v>0</v>
      </c>
      <c r="J31" s="142">
        <f t="shared" ref="J31:L31" si="18">J29+J23</f>
        <v>0</v>
      </c>
      <c r="K31" s="142">
        <f t="shared" si="18"/>
        <v>0</v>
      </c>
      <c r="L31" s="142">
        <f t="shared" si="18"/>
        <v>0</v>
      </c>
      <c r="N31" s="540"/>
      <c r="O31" s="296"/>
      <c r="P31" s="297"/>
      <c r="Q31" s="297"/>
      <c r="R31" s="297"/>
      <c r="S31" s="298"/>
      <c r="U31" s="142">
        <f>U39+U29</f>
        <v>0</v>
      </c>
      <c r="V31" s="142">
        <f t="shared" ref="V31:X31" si="19">V39+V29</f>
        <v>0</v>
      </c>
      <c r="W31" s="142">
        <f t="shared" si="19"/>
        <v>0</v>
      </c>
      <c r="X31" s="142">
        <f t="shared" si="19"/>
        <v>0</v>
      </c>
    </row>
    <row r="32" spans="2:25" x14ac:dyDescent="0.2">
      <c r="B32" s="540"/>
      <c r="C32" s="296"/>
      <c r="D32" s="297"/>
      <c r="E32" s="297"/>
      <c r="F32" s="297"/>
      <c r="G32" s="298"/>
      <c r="N32" s="540"/>
      <c r="O32" s="296"/>
      <c r="P32" s="297"/>
      <c r="Q32" s="297"/>
      <c r="R32" s="297"/>
      <c r="S32" s="298"/>
    </row>
    <row r="33" spans="2:25" ht="15" thickBot="1" x14ac:dyDescent="0.25">
      <c r="B33" s="541"/>
      <c r="C33" s="299"/>
      <c r="D33" s="300"/>
      <c r="E33" s="300"/>
      <c r="F33" s="299"/>
      <c r="G33" s="301"/>
      <c r="I33" s="151"/>
      <c r="J33" s="151"/>
      <c r="K33" s="151"/>
      <c r="L33" s="151"/>
      <c r="N33" s="541"/>
      <c r="O33" s="299"/>
      <c r="P33" s="300"/>
      <c r="Q33" s="300"/>
      <c r="R33" s="299"/>
      <c r="S33" s="301"/>
      <c r="Y33" s="142"/>
    </row>
    <row r="34" spans="2:25" ht="15" x14ac:dyDescent="0.25">
      <c r="B34" s="539">
        <v>4</v>
      </c>
      <c r="C34" s="293"/>
      <c r="D34" s="294"/>
      <c r="E34" s="294"/>
      <c r="F34" s="293"/>
      <c r="G34" s="295"/>
      <c r="I34" s="535" t="s">
        <v>377</v>
      </c>
      <c r="J34" s="535"/>
      <c r="K34" s="535"/>
      <c r="L34" s="535"/>
      <c r="N34" s="539">
        <v>4</v>
      </c>
      <c r="O34" s="293"/>
      <c r="P34" s="294"/>
      <c r="Q34" s="294"/>
      <c r="R34" s="293"/>
      <c r="S34" s="295"/>
      <c r="U34" s="535" t="s">
        <v>377</v>
      </c>
      <c r="V34" s="535"/>
      <c r="W34" s="535"/>
      <c r="X34" s="535"/>
    </row>
    <row r="35" spans="2:25" x14ac:dyDescent="0.2">
      <c r="B35" s="540"/>
      <c r="C35" s="296"/>
      <c r="D35" s="297"/>
      <c r="E35" s="297"/>
      <c r="F35" s="297"/>
      <c r="G35" s="298"/>
      <c r="I35" s="151">
        <f>SUMIF($G34:$G41,I$9,$F34:$F41)+SUMIFS($F34:$F41,$G34:$G41,I$9,$E34:$E41,$AB$11)</f>
        <v>0</v>
      </c>
      <c r="J35" s="151">
        <f t="shared" ref="J35" si="20">SUMIF($G34:$G41,J$9,$F34:$F41)+SUMIFS($F34:$F41,$G34:$G41,J$9,$E34:$E41,$AB$11)</f>
        <v>0</v>
      </c>
      <c r="K35" s="151">
        <f t="shared" ref="K35" si="21">SUMIF($G34:$G41,K$9,$F34:$F41)+SUMIFS($F34:$F41,$G34:$G41,K$9,$E34:$E41,$AB$11)</f>
        <v>0</v>
      </c>
      <c r="L35" s="151">
        <f t="shared" ref="L35" si="22">SUMIF($G34:$G41,L$9,$F34:$F41)+SUMIFS($F34:$F41,$G34:$G41,L$9,$E34:$E41,$AB$11)</f>
        <v>0</v>
      </c>
      <c r="N35" s="540"/>
      <c r="O35" s="296"/>
      <c r="P35" s="297"/>
      <c r="Q35" s="297"/>
      <c r="R35" s="297"/>
      <c r="S35" s="298"/>
      <c r="U35" s="151">
        <f>SUMIF($S34:$S41,U$9,$R34:$R41)+SUMIFS($R34:$R41,$S34:$S41,U$9,$Q34:$Q41,$AB$11)</f>
        <v>0</v>
      </c>
      <c r="V35" s="151">
        <f t="shared" ref="V35" si="23">SUMIF($S34:$S41,V$9,$R34:$R41)+SUMIFS($R34:$R41,$S34:$S41,V$9,$Q34:$Q41,$AB$11)</f>
        <v>0</v>
      </c>
      <c r="W35" s="151">
        <f t="shared" ref="W35" si="24">SUMIF($S34:$S41,W$9,$R34:$R41)+SUMIFS($R34:$R41,$S34:$S41,W$9,$Q34:$Q41,$AB$11)</f>
        <v>0</v>
      </c>
      <c r="X35" s="151">
        <f t="shared" ref="X35" si="25">SUMIF($S34:$S41,X$9,$R34:$R41)+SUMIFS($R34:$R41,$S34:$S41,X$9,$Q34:$Q41,$AB$11)</f>
        <v>0</v>
      </c>
    </row>
    <row r="36" spans="2:25" ht="15" x14ac:dyDescent="0.25">
      <c r="B36" s="540"/>
      <c r="C36" s="296"/>
      <c r="D36" s="297"/>
      <c r="E36" s="297"/>
      <c r="F36" s="297"/>
      <c r="G36" s="298"/>
      <c r="I36" s="535" t="s">
        <v>378</v>
      </c>
      <c r="J36" s="535"/>
      <c r="K36" s="535"/>
      <c r="L36" s="535"/>
      <c r="N36" s="540"/>
      <c r="O36" s="296"/>
      <c r="P36" s="297"/>
      <c r="Q36" s="297"/>
      <c r="R36" s="297"/>
      <c r="S36" s="298"/>
      <c r="U36" s="535" t="s">
        <v>378</v>
      </c>
      <c r="V36" s="535"/>
      <c r="W36" s="535"/>
      <c r="X36" s="535"/>
    </row>
    <row r="37" spans="2:25" x14ac:dyDescent="0.2">
      <c r="B37" s="540"/>
      <c r="C37" s="296"/>
      <c r="D37" s="297"/>
      <c r="E37" s="297"/>
      <c r="F37" s="297"/>
      <c r="G37" s="298"/>
      <c r="I37" s="142">
        <f>I35*'ESTUDIANTES Y DOCENTES'!$AI$35</f>
        <v>0</v>
      </c>
      <c r="J37" s="142">
        <f>J35*'ESTUDIANTES Y DOCENTES'!$AI$35</f>
        <v>0</v>
      </c>
      <c r="K37" s="142">
        <f>K35*'ESTUDIANTES Y DOCENTES'!$AI$35</f>
        <v>0</v>
      </c>
      <c r="L37" s="142">
        <f>L35*'ESTUDIANTES Y DOCENTES'!$AI$35</f>
        <v>0</v>
      </c>
      <c r="N37" s="540"/>
      <c r="O37" s="296"/>
      <c r="P37" s="297"/>
      <c r="Q37" s="297"/>
      <c r="R37" s="297"/>
      <c r="S37" s="298"/>
      <c r="U37" s="142">
        <f>U35*'ESTUDIANTES Y DOCENTES'!$AQ$35</f>
        <v>0</v>
      </c>
      <c r="V37" s="142">
        <f>V35*'ESTUDIANTES Y DOCENTES'!$AQ$35</f>
        <v>0</v>
      </c>
      <c r="W37" s="142">
        <f>W35*'ESTUDIANTES Y DOCENTES'!$AQ$35</f>
        <v>0</v>
      </c>
      <c r="X37" s="142">
        <f>X35*'ESTUDIANTES Y DOCENTES'!$AQ$35</f>
        <v>0</v>
      </c>
    </row>
    <row r="38" spans="2:25" ht="15" x14ac:dyDescent="0.25">
      <c r="B38" s="540"/>
      <c r="C38" s="296"/>
      <c r="D38" s="297"/>
      <c r="E38" s="297"/>
      <c r="F38" s="297"/>
      <c r="G38" s="298"/>
      <c r="I38" s="535" t="s">
        <v>379</v>
      </c>
      <c r="J38" s="535"/>
      <c r="K38" s="535"/>
      <c r="L38" s="535"/>
      <c r="N38" s="540"/>
      <c r="O38" s="296"/>
      <c r="P38" s="297"/>
      <c r="Q38" s="297"/>
      <c r="R38" s="297"/>
      <c r="S38" s="298"/>
      <c r="U38" s="535" t="s">
        <v>380</v>
      </c>
      <c r="V38" s="535"/>
      <c r="W38" s="535"/>
      <c r="X38" s="535"/>
    </row>
    <row r="39" spans="2:25" x14ac:dyDescent="0.2">
      <c r="B39" s="540"/>
      <c r="C39" s="296"/>
      <c r="D39" s="297"/>
      <c r="E39" s="297"/>
      <c r="F39" s="297"/>
      <c r="G39" s="298"/>
      <c r="I39" s="142">
        <f>I37+I31</f>
        <v>0</v>
      </c>
      <c r="J39" s="142">
        <f t="shared" ref="J39:L39" si="26">J37+J31</f>
        <v>0</v>
      </c>
      <c r="K39" s="142">
        <f t="shared" si="26"/>
        <v>0</v>
      </c>
      <c r="L39" s="142">
        <f t="shared" si="26"/>
        <v>0</v>
      </c>
      <c r="N39" s="540"/>
      <c r="O39" s="296"/>
      <c r="P39" s="297"/>
      <c r="Q39" s="297"/>
      <c r="R39" s="297"/>
      <c r="S39" s="298"/>
      <c r="U39" s="142">
        <f>U47+U37</f>
        <v>0</v>
      </c>
      <c r="V39" s="142">
        <f t="shared" ref="V39:X39" si="27">V47+V37</f>
        <v>0</v>
      </c>
      <c r="W39" s="142">
        <f t="shared" si="27"/>
        <v>0</v>
      </c>
      <c r="X39" s="142">
        <f t="shared" si="27"/>
        <v>0</v>
      </c>
    </row>
    <row r="40" spans="2:25" x14ac:dyDescent="0.2">
      <c r="B40" s="540"/>
      <c r="C40" s="296"/>
      <c r="D40" s="297"/>
      <c r="E40" s="297"/>
      <c r="F40" s="297"/>
      <c r="G40" s="298"/>
      <c r="N40" s="540"/>
      <c r="O40" s="296"/>
      <c r="P40" s="297"/>
      <c r="Q40" s="297"/>
      <c r="R40" s="297"/>
      <c r="S40" s="298"/>
    </row>
    <row r="41" spans="2:25" ht="15" thickBot="1" x14ac:dyDescent="0.25">
      <c r="B41" s="541"/>
      <c r="C41" s="299"/>
      <c r="D41" s="300"/>
      <c r="E41" s="300"/>
      <c r="F41" s="299"/>
      <c r="G41" s="301"/>
      <c r="I41" s="151"/>
      <c r="J41" s="151"/>
      <c r="K41" s="151"/>
      <c r="L41" s="151"/>
      <c r="N41" s="541"/>
      <c r="O41" s="299"/>
      <c r="P41" s="300"/>
      <c r="Q41" s="300"/>
      <c r="R41" s="299"/>
      <c r="S41" s="301"/>
      <c r="Y41" s="142"/>
    </row>
    <row r="42" spans="2:25" ht="15" x14ac:dyDescent="0.25">
      <c r="B42" s="539">
        <v>5</v>
      </c>
      <c r="C42" s="293"/>
      <c r="D42" s="294"/>
      <c r="E42" s="294"/>
      <c r="F42" s="293"/>
      <c r="G42" s="295"/>
      <c r="I42" s="535" t="s">
        <v>377</v>
      </c>
      <c r="J42" s="535"/>
      <c r="K42" s="535"/>
      <c r="L42" s="535"/>
      <c r="N42" s="539">
        <v>5</v>
      </c>
      <c r="O42" s="293"/>
      <c r="P42" s="293"/>
      <c r="Q42" s="294"/>
      <c r="R42" s="293"/>
      <c r="S42" s="295"/>
      <c r="U42" s="535" t="s">
        <v>377</v>
      </c>
      <c r="V42" s="535"/>
      <c r="W42" s="535"/>
      <c r="X42" s="535"/>
    </row>
    <row r="43" spans="2:25" x14ac:dyDescent="0.2">
      <c r="B43" s="540"/>
      <c r="C43" s="296"/>
      <c r="D43" s="297"/>
      <c r="E43" s="297"/>
      <c r="F43" s="297"/>
      <c r="G43" s="298"/>
      <c r="I43" s="151">
        <f>SUMIF($G42:$G49,I$9,$F42:$F49)+SUMIFS($F42:$F49,$G42:$G49,I$9,$E42:$E49,$AB$11)</f>
        <v>0</v>
      </c>
      <c r="J43" s="151">
        <f t="shared" ref="J43" si="28">SUMIF($G42:$G49,J$9,$F42:$F49)+SUMIFS($F42:$F49,$G42:$G49,J$9,$E42:$E49,$AB$11)</f>
        <v>0</v>
      </c>
      <c r="K43" s="151">
        <f t="shared" ref="K43" si="29">SUMIF($G42:$G49,K$9,$F42:$F49)+SUMIFS($F42:$F49,$G42:$G49,K$9,$E42:$E49,$AB$11)</f>
        <v>0</v>
      </c>
      <c r="L43" s="151">
        <f t="shared" ref="L43" si="30">SUMIF($G42:$G49,L$9,$F42:$F49)+SUMIFS($F42:$F49,$G42:$G49,L$9,$E42:$E49,$AB$11)</f>
        <v>0</v>
      </c>
      <c r="N43" s="540"/>
      <c r="O43" s="296"/>
      <c r="P43" s="297"/>
      <c r="Q43" s="297"/>
      <c r="R43" s="297"/>
      <c r="S43" s="298"/>
      <c r="U43" s="151">
        <f>SUMIF($S42:$S49,U$9,$R42:$R49)+SUMIFS($R42:$R49,$S42:$S49,U$9,$Q42:$Q49,$AB$11)</f>
        <v>0</v>
      </c>
      <c r="V43" s="151">
        <f t="shared" ref="V43" si="31">SUMIF($S42:$S49,V$9,$R42:$R49)+SUMIFS($R42:$R49,$S42:$S49,V$9,$Q42:$Q49,$AB$11)</f>
        <v>0</v>
      </c>
      <c r="W43" s="151">
        <f t="shared" ref="W43" si="32">SUMIF($S42:$S49,W$9,$R42:$R49)+SUMIFS($R42:$R49,$S42:$S49,W$9,$Q42:$Q49,$AB$11)</f>
        <v>0</v>
      </c>
      <c r="X43" s="151">
        <f t="shared" ref="X43" si="33">SUMIF($S42:$S49,X$9,$R42:$R49)+SUMIFS($R42:$R49,$S42:$S49,X$9,$Q42:$Q49,$AB$11)</f>
        <v>0</v>
      </c>
    </row>
    <row r="44" spans="2:25" ht="15" x14ac:dyDescent="0.25">
      <c r="B44" s="540"/>
      <c r="C44" s="296"/>
      <c r="D44" s="297"/>
      <c r="E44" s="297"/>
      <c r="F44" s="297"/>
      <c r="G44" s="298"/>
      <c r="I44" s="535" t="s">
        <v>378</v>
      </c>
      <c r="J44" s="535"/>
      <c r="K44" s="535"/>
      <c r="L44" s="535"/>
      <c r="N44" s="540"/>
      <c r="O44" s="296"/>
      <c r="P44" s="297"/>
      <c r="Q44" s="297"/>
      <c r="R44" s="297"/>
      <c r="S44" s="298"/>
      <c r="U44" s="535" t="s">
        <v>378</v>
      </c>
      <c r="V44" s="535"/>
      <c r="W44" s="535"/>
      <c r="X44" s="535"/>
    </row>
    <row r="45" spans="2:25" x14ac:dyDescent="0.2">
      <c r="B45" s="540"/>
      <c r="C45" s="296"/>
      <c r="D45" s="297"/>
      <c r="E45" s="297"/>
      <c r="F45" s="297"/>
      <c r="G45" s="298"/>
      <c r="I45" s="142">
        <f>I43*'ESTUDIANTES Y DOCENTES'!$AI$36</f>
        <v>0</v>
      </c>
      <c r="J45" s="142">
        <f>J43*'ESTUDIANTES Y DOCENTES'!$AI$36</f>
        <v>0</v>
      </c>
      <c r="K45" s="142">
        <f>K43*'ESTUDIANTES Y DOCENTES'!$AI$36</f>
        <v>0</v>
      </c>
      <c r="L45" s="142">
        <f>L43*'ESTUDIANTES Y DOCENTES'!$AI$36</f>
        <v>0</v>
      </c>
      <c r="N45" s="540"/>
      <c r="O45" s="296"/>
      <c r="P45" s="297"/>
      <c r="Q45" s="297"/>
      <c r="R45" s="297"/>
      <c r="S45" s="298"/>
      <c r="U45" s="142">
        <f>U43*'ESTUDIANTES Y DOCENTES'!$AQ$36</f>
        <v>0</v>
      </c>
      <c r="V45" s="142">
        <f>V43*'ESTUDIANTES Y DOCENTES'!$AQ$36</f>
        <v>0</v>
      </c>
      <c r="W45" s="142">
        <f>W43*'ESTUDIANTES Y DOCENTES'!$AQ$36</f>
        <v>0</v>
      </c>
      <c r="X45" s="142">
        <f>X43*'ESTUDIANTES Y DOCENTES'!$AQ$36</f>
        <v>0</v>
      </c>
    </row>
    <row r="46" spans="2:25" ht="15" x14ac:dyDescent="0.25">
      <c r="B46" s="540"/>
      <c r="C46" s="296"/>
      <c r="D46" s="297"/>
      <c r="E46" s="297"/>
      <c r="F46" s="297"/>
      <c r="G46" s="298"/>
      <c r="I46" s="535" t="s">
        <v>379</v>
      </c>
      <c r="J46" s="535"/>
      <c r="K46" s="535"/>
      <c r="L46" s="535"/>
      <c r="N46" s="540"/>
      <c r="O46" s="296"/>
      <c r="P46" s="297"/>
      <c r="Q46" s="297"/>
      <c r="R46" s="297"/>
      <c r="S46" s="298"/>
      <c r="U46" s="535" t="s">
        <v>380</v>
      </c>
      <c r="V46" s="535"/>
      <c r="W46" s="535"/>
      <c r="X46" s="535"/>
    </row>
    <row r="47" spans="2:25" x14ac:dyDescent="0.2">
      <c r="B47" s="540"/>
      <c r="C47" s="296"/>
      <c r="D47" s="297"/>
      <c r="E47" s="297"/>
      <c r="F47" s="297"/>
      <c r="G47" s="298"/>
      <c r="I47" s="142">
        <f>I45+I39</f>
        <v>0</v>
      </c>
      <c r="J47" s="142">
        <f t="shared" ref="J47:L47" si="34">J45+J39</f>
        <v>0</v>
      </c>
      <c r="K47" s="142">
        <f t="shared" si="34"/>
        <v>0</v>
      </c>
      <c r="L47" s="142">
        <f t="shared" si="34"/>
        <v>0</v>
      </c>
      <c r="N47" s="540"/>
      <c r="O47" s="296"/>
      <c r="P47" s="297"/>
      <c r="Q47" s="297"/>
      <c r="R47" s="297"/>
      <c r="S47" s="298"/>
      <c r="U47" s="142">
        <f>U55+U45</f>
        <v>0</v>
      </c>
      <c r="V47" s="142">
        <f t="shared" ref="V47:X47" si="35">V55+V45</f>
        <v>0</v>
      </c>
      <c r="W47" s="142">
        <f t="shared" si="35"/>
        <v>0</v>
      </c>
      <c r="X47" s="142">
        <f t="shared" si="35"/>
        <v>0</v>
      </c>
    </row>
    <row r="48" spans="2:25" x14ac:dyDescent="0.2">
      <c r="B48" s="540"/>
      <c r="C48" s="296"/>
      <c r="D48" s="297"/>
      <c r="E48" s="297"/>
      <c r="F48" s="297"/>
      <c r="G48" s="298"/>
      <c r="N48" s="540"/>
      <c r="O48" s="296"/>
      <c r="P48" s="297"/>
      <c r="Q48" s="297"/>
      <c r="R48" s="297"/>
      <c r="S48" s="298"/>
    </row>
    <row r="49" spans="2:25" ht="15" thickBot="1" x14ac:dyDescent="0.25">
      <c r="B49" s="541"/>
      <c r="C49" s="299"/>
      <c r="D49" s="300"/>
      <c r="E49" s="300"/>
      <c r="F49" s="299"/>
      <c r="G49" s="301"/>
      <c r="I49" s="151"/>
      <c r="J49" s="151"/>
      <c r="K49" s="151"/>
      <c r="L49" s="151"/>
      <c r="N49" s="541"/>
      <c r="O49" s="299"/>
      <c r="P49" s="300"/>
      <c r="Q49" s="300"/>
      <c r="R49" s="299"/>
      <c r="S49" s="301"/>
      <c r="Y49" s="142"/>
    </row>
    <row r="50" spans="2:25" ht="15" x14ac:dyDescent="0.25">
      <c r="B50" s="539">
        <v>6</v>
      </c>
      <c r="C50" s="293"/>
      <c r="D50" s="294"/>
      <c r="E50" s="294"/>
      <c r="F50" s="293"/>
      <c r="G50" s="295"/>
      <c r="I50" s="535" t="s">
        <v>377</v>
      </c>
      <c r="J50" s="535"/>
      <c r="K50" s="535"/>
      <c r="L50" s="535"/>
      <c r="N50" s="539">
        <v>6</v>
      </c>
      <c r="O50" s="293"/>
      <c r="P50" s="294"/>
      <c r="Q50" s="294"/>
      <c r="R50" s="293"/>
      <c r="S50" s="295"/>
      <c r="U50" s="535" t="s">
        <v>377</v>
      </c>
      <c r="V50" s="535"/>
      <c r="W50" s="535"/>
      <c r="X50" s="535"/>
    </row>
    <row r="51" spans="2:25" x14ac:dyDescent="0.2">
      <c r="B51" s="540"/>
      <c r="C51" s="296"/>
      <c r="D51" s="297"/>
      <c r="E51" s="297"/>
      <c r="F51" s="297"/>
      <c r="G51" s="298"/>
      <c r="I51" s="151">
        <f>SUMIF($G50:$G57,I$9,$F50:$F57)+SUMIFS($F50:$F57,$G50:$G57,I$9,$E50:$E57,$AB$11)</f>
        <v>0</v>
      </c>
      <c r="J51" s="151">
        <f t="shared" ref="J51" si="36">SUMIF($G50:$G57,J$9,$F50:$F57)+SUMIFS($F50:$F57,$G50:$G57,J$9,$E50:$E57,$AB$11)</f>
        <v>0</v>
      </c>
      <c r="K51" s="151">
        <f t="shared" ref="K51" si="37">SUMIF($G50:$G57,K$9,$F50:$F57)+SUMIFS($F50:$F57,$G50:$G57,K$9,$E50:$E57,$AB$11)</f>
        <v>0</v>
      </c>
      <c r="L51" s="151">
        <f t="shared" ref="L51" si="38">SUMIF($G50:$G57,L$9,$F50:$F57)+SUMIFS($F50:$F57,$G50:$G57,L$9,$E50:$E57,$AB$11)</f>
        <v>0</v>
      </c>
      <c r="N51" s="540"/>
      <c r="O51" s="296"/>
      <c r="P51" s="297"/>
      <c r="Q51" s="297"/>
      <c r="R51" s="297"/>
      <c r="S51" s="298"/>
      <c r="U51" s="151">
        <f>SUMIF($S50:$S57,U$9,$R50:$R57)+SUMIFS($R50:$R57,$S50:$S57,U$9,$Q50:$Q57,$AB$11)</f>
        <v>0</v>
      </c>
      <c r="V51" s="151">
        <f t="shared" ref="V51" si="39">SUMIF($S50:$S57,V$9,$R50:$R57)+SUMIFS($R50:$R57,$S50:$S57,V$9,$Q50:$Q57,$AB$11)</f>
        <v>0</v>
      </c>
      <c r="W51" s="151">
        <f t="shared" ref="W51" si="40">SUMIF($S50:$S57,W$9,$R50:$R57)+SUMIFS($R50:$R57,$S50:$S57,W$9,$Q50:$Q57,$AB$11)</f>
        <v>0</v>
      </c>
      <c r="X51" s="151">
        <f t="shared" ref="X51" si="41">SUMIF($S50:$S57,X$9,$R50:$R57)+SUMIFS($R50:$R57,$S50:$S57,X$9,$Q50:$Q57,$AB$11)</f>
        <v>0</v>
      </c>
    </row>
    <row r="52" spans="2:25" ht="15" x14ac:dyDescent="0.25">
      <c r="B52" s="540"/>
      <c r="C52" s="296"/>
      <c r="D52" s="297"/>
      <c r="E52" s="297"/>
      <c r="F52" s="297"/>
      <c r="G52" s="298"/>
      <c r="I52" s="535" t="s">
        <v>378</v>
      </c>
      <c r="J52" s="535"/>
      <c r="K52" s="535"/>
      <c r="L52" s="535"/>
      <c r="N52" s="540"/>
      <c r="O52" s="296"/>
      <c r="P52" s="297"/>
      <c r="Q52" s="297"/>
      <c r="R52" s="297"/>
      <c r="S52" s="298"/>
      <c r="U52" s="535" t="s">
        <v>378</v>
      </c>
      <c r="V52" s="535"/>
      <c r="W52" s="535"/>
      <c r="X52" s="535"/>
    </row>
    <row r="53" spans="2:25" x14ac:dyDescent="0.2">
      <c r="B53" s="540"/>
      <c r="C53" s="296"/>
      <c r="D53" s="297"/>
      <c r="E53" s="297"/>
      <c r="F53" s="297"/>
      <c r="G53" s="298"/>
      <c r="I53" s="142">
        <f>I51*'ESTUDIANTES Y DOCENTES'!$AI$37</f>
        <v>0</v>
      </c>
      <c r="J53" s="142">
        <f>J51*'ESTUDIANTES Y DOCENTES'!$AI$37</f>
        <v>0</v>
      </c>
      <c r="K53" s="142">
        <f>K51*'ESTUDIANTES Y DOCENTES'!$AI$37</f>
        <v>0</v>
      </c>
      <c r="L53" s="142">
        <f>L51*'ESTUDIANTES Y DOCENTES'!$AI$37</f>
        <v>0</v>
      </c>
      <c r="N53" s="540"/>
      <c r="O53" s="296"/>
      <c r="P53" s="297"/>
      <c r="Q53" s="297"/>
      <c r="R53" s="297"/>
      <c r="S53" s="298"/>
      <c r="U53" s="142">
        <f>U51*'ESTUDIANTES Y DOCENTES'!$AQ$37</f>
        <v>0</v>
      </c>
      <c r="V53" s="142">
        <f>V51*'ESTUDIANTES Y DOCENTES'!$AQ$37</f>
        <v>0</v>
      </c>
      <c r="W53" s="142">
        <f>W51*'ESTUDIANTES Y DOCENTES'!$AQ$37</f>
        <v>0</v>
      </c>
      <c r="X53" s="142">
        <f>X51*'ESTUDIANTES Y DOCENTES'!$AQ$37</f>
        <v>0</v>
      </c>
    </row>
    <row r="54" spans="2:25" ht="15" x14ac:dyDescent="0.25">
      <c r="B54" s="540"/>
      <c r="C54" s="296"/>
      <c r="D54" s="297"/>
      <c r="E54" s="297"/>
      <c r="F54" s="297"/>
      <c r="G54" s="298"/>
      <c r="I54" s="535" t="s">
        <v>379</v>
      </c>
      <c r="J54" s="535"/>
      <c r="K54" s="535"/>
      <c r="L54" s="535"/>
      <c r="N54" s="540"/>
      <c r="O54" s="296"/>
      <c r="P54" s="297"/>
      <c r="Q54" s="297"/>
      <c r="R54" s="297"/>
      <c r="S54" s="298"/>
      <c r="U54" s="535" t="s">
        <v>380</v>
      </c>
      <c r="V54" s="535"/>
      <c r="W54" s="535"/>
      <c r="X54" s="535"/>
    </row>
    <row r="55" spans="2:25" x14ac:dyDescent="0.2">
      <c r="B55" s="540"/>
      <c r="C55" s="296"/>
      <c r="D55" s="297"/>
      <c r="E55" s="297"/>
      <c r="F55" s="297"/>
      <c r="G55" s="298"/>
      <c r="I55" s="142">
        <f>I53+I47</f>
        <v>0</v>
      </c>
      <c r="J55" s="142">
        <f t="shared" ref="J55:L55" si="42">J53+J47</f>
        <v>0</v>
      </c>
      <c r="K55" s="142">
        <f t="shared" si="42"/>
        <v>0</v>
      </c>
      <c r="L55" s="142">
        <f t="shared" si="42"/>
        <v>0</v>
      </c>
      <c r="N55" s="540"/>
      <c r="O55" s="296"/>
      <c r="P55" s="297"/>
      <c r="Q55" s="297"/>
      <c r="R55" s="297"/>
      <c r="S55" s="298"/>
      <c r="U55" s="142">
        <f>U63+U53</f>
        <v>0</v>
      </c>
      <c r="V55" s="142">
        <f t="shared" ref="V55:X55" si="43">V63+V53</f>
        <v>0</v>
      </c>
      <c r="W55" s="142">
        <f t="shared" si="43"/>
        <v>0</v>
      </c>
      <c r="X55" s="142">
        <f t="shared" si="43"/>
        <v>0</v>
      </c>
    </row>
    <row r="56" spans="2:25" x14ac:dyDescent="0.2">
      <c r="B56" s="540"/>
      <c r="C56" s="296"/>
      <c r="D56" s="297"/>
      <c r="E56" s="297"/>
      <c r="F56" s="297"/>
      <c r="G56" s="298"/>
      <c r="N56" s="540"/>
      <c r="O56" s="296"/>
      <c r="P56" s="297"/>
      <c r="Q56" s="297"/>
      <c r="R56" s="297"/>
      <c r="S56" s="298"/>
    </row>
    <row r="57" spans="2:25" ht="15" thickBot="1" x14ac:dyDescent="0.25">
      <c r="B57" s="541"/>
      <c r="C57" s="299"/>
      <c r="D57" s="300"/>
      <c r="E57" s="300"/>
      <c r="F57" s="299"/>
      <c r="G57" s="301"/>
      <c r="I57" s="151"/>
      <c r="J57" s="151"/>
      <c r="K57" s="151"/>
      <c r="L57" s="151"/>
      <c r="N57" s="541"/>
      <c r="O57" s="299"/>
      <c r="P57" s="300"/>
      <c r="Q57" s="300"/>
      <c r="R57" s="299"/>
      <c r="S57" s="301"/>
      <c r="Y57" s="142"/>
    </row>
    <row r="58" spans="2:25" ht="15" x14ac:dyDescent="0.25">
      <c r="B58" s="539">
        <v>7</v>
      </c>
      <c r="C58" s="293"/>
      <c r="D58" s="294"/>
      <c r="E58" s="294"/>
      <c r="F58" s="293"/>
      <c r="G58" s="295"/>
      <c r="I58" s="535" t="s">
        <v>377</v>
      </c>
      <c r="J58" s="535"/>
      <c r="K58" s="535"/>
      <c r="L58" s="535"/>
      <c r="N58" s="539">
        <v>7</v>
      </c>
      <c r="O58" s="293"/>
      <c r="P58" s="294"/>
      <c r="Q58" s="294"/>
      <c r="R58" s="293"/>
      <c r="S58" s="295"/>
      <c r="U58" s="535" t="s">
        <v>377</v>
      </c>
      <c r="V58" s="535"/>
      <c r="W58" s="535"/>
      <c r="X58" s="535"/>
    </row>
    <row r="59" spans="2:25" x14ac:dyDescent="0.2">
      <c r="B59" s="540"/>
      <c r="C59" s="296"/>
      <c r="D59" s="297"/>
      <c r="E59" s="297"/>
      <c r="F59" s="297"/>
      <c r="G59" s="298"/>
      <c r="I59" s="151">
        <f>SUMIF($G58:$G65,I$9,$F58:$F65)+SUMIFS($F58:$F65,$G58:$G65,I$9,$E58:$E65,$AB$11)</f>
        <v>0</v>
      </c>
      <c r="J59" s="151">
        <f t="shared" ref="J59" si="44">SUMIF($G58:$G65,J$9,$F58:$F65)+SUMIFS($F58:$F65,$G58:$G65,J$9,$E58:$E65,$AB$11)</f>
        <v>0</v>
      </c>
      <c r="K59" s="151">
        <f t="shared" ref="K59" si="45">SUMIF($G58:$G65,K$9,$F58:$F65)+SUMIFS($F58:$F65,$G58:$G65,K$9,$E58:$E65,$AB$11)</f>
        <v>0</v>
      </c>
      <c r="L59" s="151">
        <f t="shared" ref="L59" si="46">SUMIF($G58:$G65,L$9,$F58:$F65)+SUMIFS($F58:$F65,$G58:$G65,L$9,$E58:$E65,$AB$11)</f>
        <v>0</v>
      </c>
      <c r="N59" s="540"/>
      <c r="O59" s="296"/>
      <c r="P59" s="297"/>
      <c r="Q59" s="297"/>
      <c r="R59" s="297"/>
      <c r="S59" s="298"/>
      <c r="U59" s="151">
        <f>SUMIF($S58:$S65,U$9,$R58:$R65)+SUMIFS($R58:$R65,$S58:$S65,U$9,$Q58:$Q65,$AB$11)</f>
        <v>0</v>
      </c>
      <c r="V59" s="151">
        <f t="shared" ref="V59" si="47">SUMIF($S58:$S65,V$9,$R58:$R65)+SUMIFS($R58:$R65,$S58:$S65,V$9,$Q58:$Q65,$AB$11)</f>
        <v>0</v>
      </c>
      <c r="W59" s="151">
        <f t="shared" ref="W59" si="48">SUMIF($S58:$S65,W$9,$R58:$R65)+SUMIFS($R58:$R65,$S58:$S65,W$9,$Q58:$Q65,$AB$11)</f>
        <v>0</v>
      </c>
      <c r="X59" s="151">
        <f t="shared" ref="X59" si="49">SUMIF($S58:$S65,X$9,$R58:$R65)+SUMIFS($R58:$R65,$S58:$S65,X$9,$Q58:$Q65,$AB$11)</f>
        <v>0</v>
      </c>
    </row>
    <row r="60" spans="2:25" ht="15" x14ac:dyDescent="0.25">
      <c r="B60" s="540"/>
      <c r="C60" s="296"/>
      <c r="D60" s="297"/>
      <c r="E60" s="297"/>
      <c r="F60" s="297"/>
      <c r="G60" s="298"/>
      <c r="I60" s="535" t="s">
        <v>378</v>
      </c>
      <c r="J60" s="535"/>
      <c r="K60" s="535"/>
      <c r="L60" s="535"/>
      <c r="N60" s="540"/>
      <c r="O60" s="296"/>
      <c r="P60" s="297"/>
      <c r="Q60" s="297"/>
      <c r="R60" s="297"/>
      <c r="S60" s="298"/>
      <c r="U60" s="535" t="s">
        <v>378</v>
      </c>
      <c r="V60" s="535"/>
      <c r="W60" s="535"/>
      <c r="X60" s="535"/>
    </row>
    <row r="61" spans="2:25" x14ac:dyDescent="0.2">
      <c r="B61" s="540"/>
      <c r="C61" s="296"/>
      <c r="D61" s="297"/>
      <c r="E61" s="297"/>
      <c r="F61" s="297"/>
      <c r="G61" s="298"/>
      <c r="I61" s="142">
        <f>I59*'ESTUDIANTES Y DOCENTES'!$AI$38</f>
        <v>0</v>
      </c>
      <c r="J61" s="142">
        <f>J59*'ESTUDIANTES Y DOCENTES'!$AI$38</f>
        <v>0</v>
      </c>
      <c r="K61" s="142">
        <f>K59*'ESTUDIANTES Y DOCENTES'!$AI$38</f>
        <v>0</v>
      </c>
      <c r="L61" s="142">
        <f>L59*'ESTUDIANTES Y DOCENTES'!$AI$38</f>
        <v>0</v>
      </c>
      <c r="N61" s="540"/>
      <c r="O61" s="296"/>
      <c r="P61" s="297"/>
      <c r="Q61" s="297"/>
      <c r="R61" s="297"/>
      <c r="S61" s="298"/>
      <c r="U61" s="142">
        <f>U59*'ESTUDIANTES Y DOCENTES'!$AQ$38</f>
        <v>0</v>
      </c>
      <c r="V61" s="142">
        <f>V59*'ESTUDIANTES Y DOCENTES'!$AQ$38</f>
        <v>0</v>
      </c>
      <c r="W61" s="142">
        <f>W59*'ESTUDIANTES Y DOCENTES'!$AQ$38</f>
        <v>0</v>
      </c>
      <c r="X61" s="142">
        <f>X59*'ESTUDIANTES Y DOCENTES'!$AQ$38</f>
        <v>0</v>
      </c>
    </row>
    <row r="62" spans="2:25" ht="15" x14ac:dyDescent="0.25">
      <c r="B62" s="540"/>
      <c r="C62" s="296"/>
      <c r="D62" s="297"/>
      <c r="E62" s="297"/>
      <c r="F62" s="297"/>
      <c r="G62" s="298"/>
      <c r="I62" s="535" t="s">
        <v>379</v>
      </c>
      <c r="J62" s="535"/>
      <c r="K62" s="535"/>
      <c r="L62" s="535"/>
      <c r="N62" s="540"/>
      <c r="O62" s="296"/>
      <c r="P62" s="297"/>
      <c r="Q62" s="297"/>
      <c r="R62" s="297"/>
      <c r="S62" s="298"/>
      <c r="U62" s="535" t="s">
        <v>380</v>
      </c>
      <c r="V62" s="535"/>
      <c r="W62" s="535"/>
      <c r="X62" s="535"/>
    </row>
    <row r="63" spans="2:25" x14ac:dyDescent="0.2">
      <c r="B63" s="540"/>
      <c r="C63" s="296"/>
      <c r="D63" s="297"/>
      <c r="E63" s="297"/>
      <c r="F63" s="297"/>
      <c r="G63" s="298"/>
      <c r="I63" s="142">
        <f>I61+I55</f>
        <v>0</v>
      </c>
      <c r="J63" s="142">
        <f t="shared" ref="J63:L63" si="50">J61+J55</f>
        <v>0</v>
      </c>
      <c r="K63" s="142">
        <f t="shared" si="50"/>
        <v>0</v>
      </c>
      <c r="L63" s="142">
        <f t="shared" si="50"/>
        <v>0</v>
      </c>
      <c r="N63" s="540"/>
      <c r="O63" s="296"/>
      <c r="P63" s="297"/>
      <c r="Q63" s="297"/>
      <c r="R63" s="297"/>
      <c r="S63" s="298"/>
      <c r="U63" s="142">
        <f>U71+U61</f>
        <v>0</v>
      </c>
      <c r="V63" s="142">
        <f t="shared" ref="V63:X63" si="51">V71+V61</f>
        <v>0</v>
      </c>
      <c r="W63" s="142">
        <f t="shared" si="51"/>
        <v>0</v>
      </c>
      <c r="X63" s="142">
        <f t="shared" si="51"/>
        <v>0</v>
      </c>
    </row>
    <row r="64" spans="2:25" x14ac:dyDescent="0.2">
      <c r="B64" s="540"/>
      <c r="C64" s="296"/>
      <c r="D64" s="297"/>
      <c r="E64" s="297"/>
      <c r="F64" s="297"/>
      <c r="G64" s="298"/>
      <c r="N64" s="540"/>
      <c r="O64" s="296"/>
      <c r="P64" s="297"/>
      <c r="Q64" s="297"/>
      <c r="R64" s="297"/>
      <c r="S64" s="298"/>
    </row>
    <row r="65" spans="2:25" ht="15" thickBot="1" x14ac:dyDescent="0.25">
      <c r="B65" s="541"/>
      <c r="C65" s="299"/>
      <c r="D65" s="300"/>
      <c r="E65" s="300"/>
      <c r="F65" s="299"/>
      <c r="G65" s="301"/>
      <c r="I65" s="151"/>
      <c r="J65" s="151"/>
      <c r="K65" s="151"/>
      <c r="L65" s="151"/>
      <c r="N65" s="541"/>
      <c r="O65" s="299"/>
      <c r="P65" s="300"/>
      <c r="Q65" s="300"/>
      <c r="R65" s="299"/>
      <c r="S65" s="301"/>
      <c r="Y65" s="142"/>
    </row>
    <row r="66" spans="2:25" ht="15" x14ac:dyDescent="0.25">
      <c r="B66" s="539">
        <v>8</v>
      </c>
      <c r="C66" s="293"/>
      <c r="D66" s="294"/>
      <c r="E66" s="294"/>
      <c r="F66" s="293"/>
      <c r="G66" s="295"/>
      <c r="I66" s="535" t="s">
        <v>377</v>
      </c>
      <c r="J66" s="535"/>
      <c r="K66" s="535"/>
      <c r="L66" s="535"/>
      <c r="N66" s="539">
        <v>8</v>
      </c>
      <c r="O66" s="293"/>
      <c r="P66" s="294"/>
      <c r="Q66" s="294"/>
      <c r="R66" s="293"/>
      <c r="S66" s="295"/>
      <c r="U66" s="535" t="s">
        <v>377</v>
      </c>
      <c r="V66" s="535"/>
      <c r="W66" s="535"/>
      <c r="X66" s="535"/>
    </row>
    <row r="67" spans="2:25" x14ac:dyDescent="0.2">
      <c r="B67" s="540"/>
      <c r="C67" s="296"/>
      <c r="D67" s="297"/>
      <c r="E67" s="297"/>
      <c r="F67" s="297"/>
      <c r="G67" s="298"/>
      <c r="I67" s="151">
        <f>SUMIF($G66:$G73,I$9,$F66:$F73)+SUMIFS($F66:$F73,$G66:$G73,I$9,$E66:$E73,$AB$11)</f>
        <v>0</v>
      </c>
      <c r="J67" s="151">
        <f t="shared" ref="J67" si="52">SUMIF($G66:$G73,J$9,$F66:$F73)+SUMIFS($F66:$F73,$G66:$G73,J$9,$E66:$E73,$AB$11)</f>
        <v>0</v>
      </c>
      <c r="K67" s="151">
        <f t="shared" ref="K67" si="53">SUMIF($G66:$G73,K$9,$F66:$F73)+SUMIFS($F66:$F73,$G66:$G73,K$9,$E66:$E73,$AB$11)</f>
        <v>0</v>
      </c>
      <c r="L67" s="151">
        <f t="shared" ref="L67" si="54">SUMIF($G66:$G73,L$9,$F66:$F73)+SUMIFS($F66:$F73,$G66:$G73,L$9,$E66:$E73,$AB$11)</f>
        <v>0</v>
      </c>
      <c r="N67" s="540"/>
      <c r="O67" s="296"/>
      <c r="P67" s="297"/>
      <c r="Q67" s="297"/>
      <c r="R67" s="297"/>
      <c r="S67" s="298"/>
      <c r="U67" s="151">
        <f>SUMIF($S66:$S73,U$9,$R66:$R73)+SUMIFS($R66:$R73,$S66:$S73,U$9,$Q66:$Q73,$AB$11)</f>
        <v>0</v>
      </c>
      <c r="V67" s="151">
        <f t="shared" ref="V67" si="55">SUMIF($S66:$S73,V$9,$R66:$R73)+SUMIFS($R66:$R73,$S66:$S73,V$9,$Q66:$Q73,$AB$11)</f>
        <v>0</v>
      </c>
      <c r="W67" s="151">
        <f t="shared" ref="W67" si="56">SUMIF($S66:$S73,W$9,$R66:$R73)+SUMIFS($R66:$R73,$S66:$S73,W$9,$Q66:$Q73,$AB$11)</f>
        <v>0</v>
      </c>
      <c r="X67" s="151">
        <f t="shared" ref="X67" si="57">SUMIF($S66:$S73,X$9,$R66:$R73)+SUMIFS($R66:$R73,$S66:$S73,X$9,$Q66:$Q73,$AB$11)</f>
        <v>0</v>
      </c>
    </row>
    <row r="68" spans="2:25" ht="15" x14ac:dyDescent="0.25">
      <c r="B68" s="540"/>
      <c r="C68" s="296"/>
      <c r="D68" s="297"/>
      <c r="E68" s="297"/>
      <c r="F68" s="297"/>
      <c r="G68" s="298"/>
      <c r="I68" s="535" t="s">
        <v>378</v>
      </c>
      <c r="J68" s="535"/>
      <c r="K68" s="535"/>
      <c r="L68" s="535"/>
      <c r="N68" s="540"/>
      <c r="O68" s="296"/>
      <c r="P68" s="297"/>
      <c r="Q68" s="297"/>
      <c r="R68" s="297"/>
      <c r="S68" s="298"/>
      <c r="U68" s="535" t="s">
        <v>378</v>
      </c>
      <c r="V68" s="535"/>
      <c r="W68" s="535"/>
      <c r="X68" s="535"/>
    </row>
    <row r="69" spans="2:25" x14ac:dyDescent="0.2">
      <c r="B69" s="540"/>
      <c r="C69" s="296"/>
      <c r="D69" s="297"/>
      <c r="E69" s="297"/>
      <c r="F69" s="297"/>
      <c r="G69" s="298"/>
      <c r="I69" s="142">
        <f>I67*'ESTUDIANTES Y DOCENTES'!$AI$39</f>
        <v>0</v>
      </c>
      <c r="J69" s="142">
        <f>J67*'ESTUDIANTES Y DOCENTES'!$AI$39</f>
        <v>0</v>
      </c>
      <c r="K69" s="142">
        <f>K67*'ESTUDIANTES Y DOCENTES'!$AI$39</f>
        <v>0</v>
      </c>
      <c r="L69" s="142">
        <f>L67*'ESTUDIANTES Y DOCENTES'!$AI$39</f>
        <v>0</v>
      </c>
      <c r="N69" s="540"/>
      <c r="O69" s="296"/>
      <c r="P69" s="297"/>
      <c r="Q69" s="297"/>
      <c r="R69" s="297"/>
      <c r="S69" s="298"/>
      <c r="U69" s="142">
        <f>U67*'ESTUDIANTES Y DOCENTES'!$AQ$39</f>
        <v>0</v>
      </c>
      <c r="V69" s="142">
        <f>V67*'ESTUDIANTES Y DOCENTES'!$AQ$39</f>
        <v>0</v>
      </c>
      <c r="W69" s="142">
        <f>W67*'ESTUDIANTES Y DOCENTES'!$AQ$39</f>
        <v>0</v>
      </c>
      <c r="X69" s="142">
        <f>X67*'ESTUDIANTES Y DOCENTES'!$AQ$39</f>
        <v>0</v>
      </c>
    </row>
    <row r="70" spans="2:25" ht="15" x14ac:dyDescent="0.25">
      <c r="B70" s="540"/>
      <c r="C70" s="296"/>
      <c r="D70" s="297"/>
      <c r="E70" s="297"/>
      <c r="F70" s="297"/>
      <c r="G70" s="298"/>
      <c r="I70" s="535" t="s">
        <v>379</v>
      </c>
      <c r="J70" s="535"/>
      <c r="K70" s="535"/>
      <c r="L70" s="535"/>
      <c r="N70" s="540"/>
      <c r="O70" s="296"/>
      <c r="P70" s="297"/>
      <c r="Q70" s="297"/>
      <c r="R70" s="297"/>
      <c r="S70" s="298"/>
      <c r="U70" s="535" t="s">
        <v>380</v>
      </c>
      <c r="V70" s="535"/>
      <c r="W70" s="535"/>
      <c r="X70" s="535"/>
    </row>
    <row r="71" spans="2:25" x14ac:dyDescent="0.2">
      <c r="B71" s="540"/>
      <c r="C71" s="296"/>
      <c r="D71" s="297"/>
      <c r="E71" s="297"/>
      <c r="F71" s="297"/>
      <c r="G71" s="298"/>
      <c r="I71" s="142">
        <f>I69+I63</f>
        <v>0</v>
      </c>
      <c r="J71" s="142">
        <f t="shared" ref="J71:L71" si="58">J69+J63</f>
        <v>0</v>
      </c>
      <c r="K71" s="142">
        <f t="shared" si="58"/>
        <v>0</v>
      </c>
      <c r="L71" s="142">
        <f t="shared" si="58"/>
        <v>0</v>
      </c>
      <c r="N71" s="540"/>
      <c r="O71" s="296"/>
      <c r="P71" s="297"/>
      <c r="Q71" s="297"/>
      <c r="R71" s="297"/>
      <c r="S71" s="298"/>
      <c r="U71" s="142">
        <f>U79+U69</f>
        <v>0</v>
      </c>
      <c r="V71" s="142">
        <f t="shared" ref="V71:X71" si="59">V79+V69</f>
        <v>0</v>
      </c>
      <c r="W71" s="142">
        <f t="shared" si="59"/>
        <v>0</v>
      </c>
      <c r="X71" s="142">
        <f t="shared" si="59"/>
        <v>0</v>
      </c>
    </row>
    <row r="72" spans="2:25" x14ac:dyDescent="0.2">
      <c r="B72" s="540"/>
      <c r="C72" s="296"/>
      <c r="D72" s="297"/>
      <c r="E72" s="297"/>
      <c r="F72" s="297"/>
      <c r="G72" s="298"/>
      <c r="N72" s="540"/>
      <c r="O72" s="296"/>
      <c r="P72" s="297"/>
      <c r="Q72" s="297"/>
      <c r="R72" s="297"/>
      <c r="S72" s="298"/>
    </row>
    <row r="73" spans="2:25" ht="15" thickBot="1" x14ac:dyDescent="0.25">
      <c r="B73" s="541"/>
      <c r="C73" s="299"/>
      <c r="D73" s="300"/>
      <c r="E73" s="300"/>
      <c r="F73" s="299"/>
      <c r="G73" s="301"/>
      <c r="I73" s="151"/>
      <c r="J73" s="151"/>
      <c r="K73" s="151"/>
      <c r="L73" s="151"/>
      <c r="N73" s="541"/>
      <c r="O73" s="299"/>
      <c r="P73" s="300"/>
      <c r="Q73" s="300"/>
      <c r="R73" s="299"/>
      <c r="S73" s="301"/>
      <c r="Y73" s="142"/>
    </row>
    <row r="74" spans="2:25" ht="15" x14ac:dyDescent="0.25">
      <c r="B74" s="539">
        <v>9</v>
      </c>
      <c r="C74" s="293"/>
      <c r="D74" s="294"/>
      <c r="E74" s="294"/>
      <c r="F74" s="293"/>
      <c r="G74" s="295"/>
      <c r="I74" s="535" t="s">
        <v>377</v>
      </c>
      <c r="J74" s="535"/>
      <c r="K74" s="535"/>
      <c r="L74" s="535"/>
      <c r="N74" s="539">
        <v>9</v>
      </c>
      <c r="O74" s="293"/>
      <c r="P74" s="294"/>
      <c r="Q74" s="294"/>
      <c r="R74" s="293"/>
      <c r="S74" s="295"/>
      <c r="U74" s="535" t="s">
        <v>377</v>
      </c>
      <c r="V74" s="535"/>
      <c r="W74" s="535"/>
      <c r="X74" s="535"/>
    </row>
    <row r="75" spans="2:25" x14ac:dyDescent="0.2">
      <c r="B75" s="540"/>
      <c r="C75" s="296"/>
      <c r="D75" s="297"/>
      <c r="E75" s="297"/>
      <c r="F75" s="297"/>
      <c r="G75" s="298"/>
      <c r="I75" s="151">
        <f>SUMIF($G74:$G81,I$9,$F74:$F81)+SUMIFS($F74:$F81,$G74:$G81,I$9,$E74:$E81,$AB$11)</f>
        <v>0</v>
      </c>
      <c r="J75" s="151">
        <f t="shared" ref="J75" si="60">SUMIF($G74:$G81,J$9,$F74:$F81)+SUMIFS($F74:$F81,$G74:$G81,J$9,$E74:$E81,$AB$11)</f>
        <v>0</v>
      </c>
      <c r="K75" s="151">
        <f t="shared" ref="K75" si="61">SUMIF($G74:$G81,K$9,$F74:$F81)+SUMIFS($F74:$F81,$G74:$G81,K$9,$E74:$E81,$AB$11)</f>
        <v>0</v>
      </c>
      <c r="L75" s="151">
        <f t="shared" ref="L75" si="62">SUMIF($G74:$G81,L$9,$F74:$F81)+SUMIFS($F74:$F81,$G74:$G81,L$9,$E74:$E81,$AB$11)</f>
        <v>0</v>
      </c>
      <c r="N75" s="540"/>
      <c r="O75" s="296"/>
      <c r="P75" s="297"/>
      <c r="Q75" s="297"/>
      <c r="R75" s="297"/>
      <c r="S75" s="298"/>
      <c r="U75" s="151">
        <f>SUMIF($S74:$S81,U$9,$R74:$R81)+SUMIFS($R74:$R81,$S74:$S81,U$9,$Q74:$Q81,$AB$11)</f>
        <v>0</v>
      </c>
      <c r="V75" s="151">
        <f t="shared" ref="V75" si="63">SUMIF($S74:$S81,V$9,$R74:$R81)+SUMIFS($R74:$R81,$S74:$S81,V$9,$Q74:$Q81,$AB$11)</f>
        <v>0</v>
      </c>
      <c r="W75" s="151">
        <f t="shared" ref="W75" si="64">SUMIF($S74:$S81,W$9,$R74:$R81)+SUMIFS($R74:$R81,$S74:$S81,W$9,$Q74:$Q81,$AB$11)</f>
        <v>0</v>
      </c>
      <c r="X75" s="151">
        <f t="shared" ref="X75" si="65">SUMIF($S74:$S81,X$9,$R74:$R81)+SUMIFS($R74:$R81,$S74:$S81,X$9,$Q74:$Q81,$AB$11)</f>
        <v>0</v>
      </c>
    </row>
    <row r="76" spans="2:25" ht="15" x14ac:dyDescent="0.25">
      <c r="B76" s="540"/>
      <c r="C76" s="296"/>
      <c r="D76" s="297"/>
      <c r="E76" s="297"/>
      <c r="F76" s="297"/>
      <c r="G76" s="298"/>
      <c r="I76" s="535" t="s">
        <v>378</v>
      </c>
      <c r="J76" s="535"/>
      <c r="K76" s="535"/>
      <c r="L76" s="535"/>
      <c r="N76" s="540"/>
      <c r="O76" s="296"/>
      <c r="P76" s="297"/>
      <c r="Q76" s="297"/>
      <c r="R76" s="297"/>
      <c r="S76" s="298"/>
      <c r="U76" s="535" t="s">
        <v>378</v>
      </c>
      <c r="V76" s="535"/>
      <c r="W76" s="535"/>
      <c r="X76" s="535"/>
    </row>
    <row r="77" spans="2:25" x14ac:dyDescent="0.2">
      <c r="B77" s="540"/>
      <c r="C77" s="296"/>
      <c r="D77" s="297"/>
      <c r="E77" s="297"/>
      <c r="F77" s="297"/>
      <c r="G77" s="298"/>
      <c r="I77" s="142">
        <f>I75*'ESTUDIANTES Y DOCENTES'!$AI$40</f>
        <v>0</v>
      </c>
      <c r="J77" s="142">
        <f>J75*'ESTUDIANTES Y DOCENTES'!$AI$40</f>
        <v>0</v>
      </c>
      <c r="K77" s="142">
        <f>K75*'ESTUDIANTES Y DOCENTES'!$AI$40</f>
        <v>0</v>
      </c>
      <c r="L77" s="142">
        <f>L75*'ESTUDIANTES Y DOCENTES'!$AI$40</f>
        <v>0</v>
      </c>
      <c r="N77" s="540"/>
      <c r="O77" s="296"/>
      <c r="P77" s="297"/>
      <c r="Q77" s="297"/>
      <c r="R77" s="297"/>
      <c r="S77" s="298"/>
      <c r="U77" s="142">
        <f>U75*'ESTUDIANTES Y DOCENTES'!$AQ$40</f>
        <v>0</v>
      </c>
      <c r="V77" s="142">
        <f>V75*'ESTUDIANTES Y DOCENTES'!$AQ$40</f>
        <v>0</v>
      </c>
      <c r="W77" s="142">
        <f>W75*'ESTUDIANTES Y DOCENTES'!$AQ$40</f>
        <v>0</v>
      </c>
      <c r="X77" s="142">
        <f>X75*'ESTUDIANTES Y DOCENTES'!$AQ$40</f>
        <v>0</v>
      </c>
    </row>
    <row r="78" spans="2:25" ht="15" x14ac:dyDescent="0.25">
      <c r="B78" s="540"/>
      <c r="C78" s="296"/>
      <c r="D78" s="297"/>
      <c r="E78" s="297"/>
      <c r="F78" s="297"/>
      <c r="G78" s="298"/>
      <c r="I78" s="535" t="s">
        <v>379</v>
      </c>
      <c r="J78" s="535"/>
      <c r="K78" s="535"/>
      <c r="L78" s="535"/>
      <c r="N78" s="540"/>
      <c r="O78" s="296"/>
      <c r="P78" s="297"/>
      <c r="Q78" s="297"/>
      <c r="R78" s="297"/>
      <c r="S78" s="298"/>
      <c r="U78" s="535" t="s">
        <v>380</v>
      </c>
      <c r="V78" s="535"/>
      <c r="W78" s="535"/>
      <c r="X78" s="535"/>
    </row>
    <row r="79" spans="2:25" x14ac:dyDescent="0.2">
      <c r="B79" s="540"/>
      <c r="C79" s="296"/>
      <c r="D79" s="297"/>
      <c r="E79" s="297"/>
      <c r="F79" s="297"/>
      <c r="G79" s="298"/>
      <c r="I79" s="142">
        <f>I77+I71</f>
        <v>0</v>
      </c>
      <c r="J79" s="142">
        <f t="shared" ref="J79:L79" si="66">J77+J71</f>
        <v>0</v>
      </c>
      <c r="K79" s="142">
        <f t="shared" si="66"/>
        <v>0</v>
      </c>
      <c r="L79" s="142">
        <f t="shared" si="66"/>
        <v>0</v>
      </c>
      <c r="N79" s="540"/>
      <c r="O79" s="296"/>
      <c r="P79" s="297"/>
      <c r="Q79" s="297"/>
      <c r="R79" s="297"/>
      <c r="S79" s="298"/>
      <c r="U79" s="142">
        <f>U87+U77</f>
        <v>0</v>
      </c>
      <c r="V79" s="142">
        <f t="shared" ref="V79:X79" si="67">V87+V77</f>
        <v>0</v>
      </c>
      <c r="W79" s="142">
        <f t="shared" si="67"/>
        <v>0</v>
      </c>
      <c r="X79" s="142">
        <f t="shared" si="67"/>
        <v>0</v>
      </c>
    </row>
    <row r="80" spans="2:25" x14ac:dyDescent="0.2">
      <c r="B80" s="540"/>
      <c r="C80" s="296"/>
      <c r="D80" s="297"/>
      <c r="E80" s="297"/>
      <c r="F80" s="297"/>
      <c r="G80" s="298"/>
      <c r="N80" s="540"/>
      <c r="O80" s="296"/>
      <c r="P80" s="297"/>
      <c r="Q80" s="297"/>
      <c r="R80" s="297"/>
      <c r="S80" s="298"/>
    </row>
    <row r="81" spans="2:25" ht="15" thickBot="1" x14ac:dyDescent="0.25">
      <c r="B81" s="541"/>
      <c r="C81" s="299"/>
      <c r="D81" s="300"/>
      <c r="E81" s="300"/>
      <c r="F81" s="299"/>
      <c r="G81" s="301"/>
      <c r="I81" s="151"/>
      <c r="J81" s="151"/>
      <c r="K81" s="151"/>
      <c r="L81" s="151"/>
      <c r="N81" s="541"/>
      <c r="O81" s="299"/>
      <c r="P81" s="300"/>
      <c r="Q81" s="300"/>
      <c r="R81" s="299"/>
      <c r="S81" s="301"/>
      <c r="Y81" s="142"/>
    </row>
    <row r="82" spans="2:25" ht="15" x14ac:dyDescent="0.25">
      <c r="B82" s="543">
        <v>10</v>
      </c>
      <c r="C82" s="293"/>
      <c r="D82" s="294"/>
      <c r="E82" s="294"/>
      <c r="F82" s="293"/>
      <c r="G82" s="295"/>
      <c r="I82" s="535" t="s">
        <v>377</v>
      </c>
      <c r="J82" s="535"/>
      <c r="K82" s="535"/>
      <c r="L82" s="535"/>
      <c r="N82" s="539">
        <v>10</v>
      </c>
      <c r="O82" s="293"/>
      <c r="P82" s="294"/>
      <c r="Q82" s="294"/>
      <c r="R82" s="293"/>
      <c r="S82" s="295"/>
      <c r="U82" s="535" t="s">
        <v>377</v>
      </c>
      <c r="V82" s="535"/>
      <c r="W82" s="535"/>
      <c r="X82" s="535"/>
    </row>
    <row r="83" spans="2:25" x14ac:dyDescent="0.2">
      <c r="B83" s="544"/>
      <c r="C83" s="296"/>
      <c r="D83" s="297"/>
      <c r="E83" s="297"/>
      <c r="F83" s="297"/>
      <c r="G83" s="298"/>
      <c r="I83" s="151">
        <f>SUMIF($G82:$G89,I$9,$F82:$F89)+SUMIFS($F82:$F89,$G82:$G89,I$9,$E82:$E89,$AB$11)</f>
        <v>0</v>
      </c>
      <c r="J83" s="151">
        <f t="shared" ref="J83" si="68">SUMIF($G82:$G89,J$9,$F82:$F89)+SUMIFS($F82:$F89,$G82:$G89,J$9,$E82:$E89,$AB$11)</f>
        <v>0</v>
      </c>
      <c r="K83" s="151">
        <f t="shared" ref="K83" si="69">SUMIF($G82:$G89,K$9,$F82:$F89)+SUMIFS($F82:$F89,$G82:$G89,K$9,$E82:$E89,$AB$11)</f>
        <v>0</v>
      </c>
      <c r="L83" s="151">
        <f t="shared" ref="L83" si="70">SUMIF($G82:$G89,L$9,$F82:$F89)+SUMIFS($F82:$F89,$G82:$G89,L$9,$E82:$E89,$AB$11)</f>
        <v>0</v>
      </c>
      <c r="N83" s="540"/>
      <c r="O83" s="296"/>
      <c r="P83" s="297"/>
      <c r="Q83" s="297"/>
      <c r="R83" s="297"/>
      <c r="S83" s="298"/>
      <c r="U83" s="151">
        <f>SUMIF($S82:$S89,U$9,$R82:$R89)+SUMIFS($R82:$R89,$S82:$S89,U$9,$Q82:$Q89,$AB$11)</f>
        <v>0</v>
      </c>
      <c r="V83" s="151">
        <f t="shared" ref="V83" si="71">SUMIF($S82:$S89,V$9,$R82:$R89)+SUMIFS($R82:$R89,$S82:$S89,V$9,$Q82:$Q89,$AB$11)</f>
        <v>0</v>
      </c>
      <c r="W83" s="151">
        <f t="shared" ref="W83" si="72">SUMIF($S82:$S89,W$9,$R82:$R89)+SUMIFS($R82:$R89,$S82:$S89,W$9,$Q82:$Q89,$AB$11)</f>
        <v>0</v>
      </c>
      <c r="X83" s="151">
        <f t="shared" ref="X83" si="73">SUMIF($S82:$S89,X$9,$R82:$R89)+SUMIFS($R82:$R89,$S82:$S89,X$9,$Q82:$Q89,$AB$11)</f>
        <v>0</v>
      </c>
    </row>
    <row r="84" spans="2:25" ht="15" x14ac:dyDescent="0.25">
      <c r="B84" s="544"/>
      <c r="C84" s="296"/>
      <c r="D84" s="297"/>
      <c r="E84" s="297"/>
      <c r="F84" s="297"/>
      <c r="G84" s="298"/>
      <c r="I84" s="535" t="s">
        <v>378</v>
      </c>
      <c r="J84" s="535"/>
      <c r="K84" s="535"/>
      <c r="L84" s="535"/>
      <c r="N84" s="540"/>
      <c r="O84" s="296"/>
      <c r="P84" s="297"/>
      <c r="Q84" s="297"/>
      <c r="R84" s="297"/>
      <c r="S84" s="298"/>
      <c r="U84" s="535" t="s">
        <v>378</v>
      </c>
      <c r="V84" s="535"/>
      <c r="W84" s="535"/>
      <c r="X84" s="535"/>
    </row>
    <row r="85" spans="2:25" x14ac:dyDescent="0.2">
      <c r="B85" s="544"/>
      <c r="C85" s="296"/>
      <c r="D85" s="297"/>
      <c r="E85" s="297"/>
      <c r="F85" s="297"/>
      <c r="G85" s="298"/>
      <c r="I85" s="142">
        <f>I83*'ESTUDIANTES Y DOCENTES'!$AI$41</f>
        <v>0</v>
      </c>
      <c r="J85" s="142">
        <f>J83*'ESTUDIANTES Y DOCENTES'!$AI$41</f>
        <v>0</v>
      </c>
      <c r="K85" s="142">
        <f>K83*'ESTUDIANTES Y DOCENTES'!$AI$41</f>
        <v>0</v>
      </c>
      <c r="L85" s="142">
        <f>L83*'ESTUDIANTES Y DOCENTES'!$AI$41</f>
        <v>0</v>
      </c>
      <c r="N85" s="540"/>
      <c r="O85" s="296"/>
      <c r="P85" s="297"/>
      <c r="Q85" s="297"/>
      <c r="R85" s="297"/>
      <c r="S85" s="298"/>
      <c r="U85" s="142">
        <f>U83*'ESTUDIANTES Y DOCENTES'!$AQ$41</f>
        <v>0</v>
      </c>
      <c r="V85" s="142">
        <f>V83*'ESTUDIANTES Y DOCENTES'!$AQ$41</f>
        <v>0</v>
      </c>
      <c r="W85" s="142">
        <f>W83*'ESTUDIANTES Y DOCENTES'!$AQ$41</f>
        <v>0</v>
      </c>
      <c r="X85" s="142">
        <f>X83*'ESTUDIANTES Y DOCENTES'!$AQ$41</f>
        <v>0</v>
      </c>
    </row>
    <row r="86" spans="2:25" ht="15" x14ac:dyDescent="0.25">
      <c r="B86" s="544"/>
      <c r="C86" s="296"/>
      <c r="D86" s="297"/>
      <c r="E86" s="297"/>
      <c r="F86" s="297"/>
      <c r="G86" s="298"/>
      <c r="I86" s="535" t="s">
        <v>379</v>
      </c>
      <c r="J86" s="535"/>
      <c r="K86" s="535"/>
      <c r="L86" s="535"/>
      <c r="N86" s="540"/>
      <c r="O86" s="296"/>
      <c r="P86" s="297"/>
      <c r="Q86" s="297"/>
      <c r="R86" s="297"/>
      <c r="S86" s="298"/>
      <c r="U86" s="535" t="s">
        <v>380</v>
      </c>
      <c r="V86" s="535"/>
      <c r="W86" s="535"/>
      <c r="X86" s="535"/>
    </row>
    <row r="87" spans="2:25" x14ac:dyDescent="0.2">
      <c r="B87" s="544"/>
      <c r="C87" s="296"/>
      <c r="D87" s="297"/>
      <c r="E87" s="297"/>
      <c r="F87" s="297"/>
      <c r="G87" s="298"/>
      <c r="I87" s="142">
        <f>I85+I79</f>
        <v>0</v>
      </c>
      <c r="J87" s="142">
        <f t="shared" ref="J87:L87" si="74">J85+J79</f>
        <v>0</v>
      </c>
      <c r="K87" s="142">
        <f t="shared" si="74"/>
        <v>0</v>
      </c>
      <c r="L87" s="142">
        <f t="shared" si="74"/>
        <v>0</v>
      </c>
      <c r="N87" s="540"/>
      <c r="O87" s="296"/>
      <c r="P87" s="297"/>
      <c r="Q87" s="297"/>
      <c r="R87" s="297"/>
      <c r="S87" s="298"/>
      <c r="U87" s="142">
        <f>U95+U85</f>
        <v>0</v>
      </c>
      <c r="V87" s="142">
        <f t="shared" ref="V87:X87" si="75">V95+V85</f>
        <v>0</v>
      </c>
      <c r="W87" s="142">
        <f t="shared" si="75"/>
        <v>0</v>
      </c>
      <c r="X87" s="142">
        <f t="shared" si="75"/>
        <v>0</v>
      </c>
    </row>
    <row r="88" spans="2:25" x14ac:dyDescent="0.2">
      <c r="B88" s="544"/>
      <c r="C88" s="296"/>
      <c r="D88" s="297"/>
      <c r="E88" s="297"/>
      <c r="F88" s="297"/>
      <c r="G88" s="298"/>
      <c r="N88" s="540"/>
      <c r="O88" s="296"/>
      <c r="P88" s="297"/>
      <c r="Q88" s="297"/>
      <c r="R88" s="297"/>
      <c r="S88" s="298"/>
    </row>
    <row r="89" spans="2:25" ht="15" thickBot="1" x14ac:dyDescent="0.25">
      <c r="B89" s="545"/>
      <c r="C89" s="299"/>
      <c r="D89" s="300"/>
      <c r="E89" s="300"/>
      <c r="F89" s="299"/>
      <c r="G89" s="301"/>
      <c r="I89" s="151"/>
      <c r="J89" s="151"/>
      <c r="K89" s="151"/>
      <c r="L89" s="151"/>
      <c r="N89" s="541"/>
      <c r="O89" s="299"/>
      <c r="P89" s="300"/>
      <c r="Q89" s="300"/>
      <c r="R89" s="299"/>
      <c r="S89" s="301"/>
      <c r="Y89" s="142"/>
    </row>
    <row r="90" spans="2:25" ht="15" x14ac:dyDescent="0.25">
      <c r="B90" s="539">
        <v>11</v>
      </c>
      <c r="C90" s="293"/>
      <c r="D90" s="294"/>
      <c r="E90" s="294"/>
      <c r="F90" s="294"/>
      <c r="G90" s="295"/>
      <c r="I90" s="535" t="s">
        <v>377</v>
      </c>
      <c r="J90" s="535"/>
      <c r="K90" s="535"/>
      <c r="L90" s="535"/>
      <c r="N90" s="539">
        <v>11</v>
      </c>
      <c r="O90" s="293"/>
      <c r="P90" s="294"/>
      <c r="Q90" s="294"/>
      <c r="R90" s="293"/>
      <c r="S90" s="295"/>
      <c r="U90" s="535" t="s">
        <v>377</v>
      </c>
      <c r="V90" s="535"/>
      <c r="W90" s="535"/>
      <c r="X90" s="535"/>
    </row>
    <row r="91" spans="2:25" x14ac:dyDescent="0.2">
      <c r="B91" s="540"/>
      <c r="C91" s="296"/>
      <c r="D91" s="297"/>
      <c r="E91" s="297"/>
      <c r="F91" s="297"/>
      <c r="G91" s="298"/>
      <c r="I91" s="151">
        <f>SUMIF($G90:$G97,I$9,$F90:$F97)+SUMIFS($F90:$F97,$G90:$G97,I$9,$E90:$E97,$AB$11)</f>
        <v>0</v>
      </c>
      <c r="J91" s="151">
        <f t="shared" ref="J91" si="76">SUMIF($G90:$G97,J$9,$F90:$F97)+SUMIFS($F90:$F97,$G90:$G97,J$9,$E90:$E97,$AB$11)</f>
        <v>0</v>
      </c>
      <c r="K91" s="151">
        <f t="shared" ref="K91" si="77">SUMIF($G90:$G97,K$9,$F90:$F97)+SUMIFS($F90:$F97,$G90:$G97,K$9,$E90:$E97,$AB$11)</f>
        <v>0</v>
      </c>
      <c r="L91" s="151">
        <f t="shared" ref="L91" si="78">SUMIF($G90:$G97,L$9,$F90:$F97)+SUMIFS($F90:$F97,$G90:$G97,L$9,$E90:$E97,$AB$11)</f>
        <v>0</v>
      </c>
      <c r="N91" s="540"/>
      <c r="O91" s="296"/>
      <c r="P91" s="297"/>
      <c r="Q91" s="297"/>
      <c r="R91" s="297"/>
      <c r="S91" s="298"/>
      <c r="U91" s="151">
        <f>SUMIF($S90:$S97,U$9,$R90:$R97)+SUMIFS($R90:$R97,$S90:$S97,U$9,$Q90:$Q97,$AB$11)</f>
        <v>0</v>
      </c>
      <c r="V91" s="151">
        <f t="shared" ref="V91" si="79">SUMIF($S90:$S97,V$9,$R90:$R97)+SUMIFS($R90:$R97,$S90:$S97,V$9,$Q90:$Q97,$AB$11)</f>
        <v>0</v>
      </c>
      <c r="W91" s="151">
        <f t="shared" ref="W91" si="80">SUMIF($S90:$S97,W$9,$R90:$R97)+SUMIFS($R90:$R97,$S90:$S97,W$9,$Q90:$Q97,$AB$11)</f>
        <v>0</v>
      </c>
      <c r="X91" s="151">
        <f t="shared" ref="X91" si="81">SUMIF($S90:$S97,X$9,$R90:$R97)+SUMIFS($R90:$R97,$S90:$S97,X$9,$Q90:$Q97,$AB$11)</f>
        <v>0</v>
      </c>
    </row>
    <row r="92" spans="2:25" ht="15" x14ac:dyDescent="0.25">
      <c r="B92" s="540"/>
      <c r="C92" s="296"/>
      <c r="D92" s="297"/>
      <c r="E92" s="297"/>
      <c r="F92" s="297"/>
      <c r="G92" s="298"/>
      <c r="I92" s="535" t="s">
        <v>378</v>
      </c>
      <c r="J92" s="535"/>
      <c r="K92" s="535"/>
      <c r="L92" s="535"/>
      <c r="N92" s="540"/>
      <c r="O92" s="296"/>
      <c r="P92" s="297"/>
      <c r="Q92" s="297"/>
      <c r="R92" s="297"/>
      <c r="S92" s="298"/>
      <c r="U92" s="535" t="s">
        <v>378</v>
      </c>
      <c r="V92" s="535"/>
      <c r="W92" s="535"/>
      <c r="X92" s="535"/>
    </row>
    <row r="93" spans="2:25" x14ac:dyDescent="0.2">
      <c r="B93" s="540"/>
      <c r="C93" s="296"/>
      <c r="D93" s="297"/>
      <c r="E93" s="297"/>
      <c r="F93" s="297"/>
      <c r="G93" s="298"/>
      <c r="I93" s="142">
        <f>I91*'ESTUDIANTES Y DOCENTES'!$AI$42</f>
        <v>0</v>
      </c>
      <c r="J93" s="142">
        <f>J91*'ESTUDIANTES Y DOCENTES'!$AI$42</f>
        <v>0</v>
      </c>
      <c r="K93" s="142">
        <f>K91*'ESTUDIANTES Y DOCENTES'!$AI$42</f>
        <v>0</v>
      </c>
      <c r="L93" s="142">
        <f>L91*'ESTUDIANTES Y DOCENTES'!$AI$42</f>
        <v>0</v>
      </c>
      <c r="N93" s="540"/>
      <c r="O93" s="296"/>
      <c r="P93" s="297"/>
      <c r="Q93" s="297"/>
      <c r="R93" s="297"/>
      <c r="S93" s="298"/>
      <c r="U93" s="142">
        <f>U91*'ESTUDIANTES Y DOCENTES'!$AQ$42</f>
        <v>0</v>
      </c>
      <c r="V93" s="142">
        <f>V91*'ESTUDIANTES Y DOCENTES'!$AQ$42</f>
        <v>0</v>
      </c>
      <c r="W93" s="142">
        <f>W91*'ESTUDIANTES Y DOCENTES'!$AQ$42</f>
        <v>0</v>
      </c>
      <c r="X93" s="142">
        <f>X91*'ESTUDIANTES Y DOCENTES'!$AQ$42</f>
        <v>0</v>
      </c>
    </row>
    <row r="94" spans="2:25" ht="15" x14ac:dyDescent="0.25">
      <c r="B94" s="540"/>
      <c r="C94" s="296"/>
      <c r="D94" s="297"/>
      <c r="E94" s="297"/>
      <c r="F94" s="297"/>
      <c r="G94" s="298"/>
      <c r="I94" s="535" t="s">
        <v>379</v>
      </c>
      <c r="J94" s="535"/>
      <c r="K94" s="535"/>
      <c r="L94" s="535"/>
      <c r="N94" s="540"/>
      <c r="O94" s="296"/>
      <c r="P94" s="297"/>
      <c r="Q94" s="297"/>
      <c r="R94" s="297"/>
      <c r="S94" s="298"/>
      <c r="U94" s="535" t="s">
        <v>380</v>
      </c>
      <c r="V94" s="535"/>
      <c r="W94" s="535"/>
      <c r="X94" s="535"/>
    </row>
    <row r="95" spans="2:25" x14ac:dyDescent="0.2">
      <c r="B95" s="540"/>
      <c r="C95" s="296"/>
      <c r="D95" s="297"/>
      <c r="E95" s="297"/>
      <c r="F95" s="297"/>
      <c r="G95" s="298"/>
      <c r="I95" s="142">
        <f>I93+I87</f>
        <v>0</v>
      </c>
      <c r="J95" s="142">
        <f t="shared" ref="J95:L95" si="82">J93+J87</f>
        <v>0</v>
      </c>
      <c r="K95" s="142">
        <f t="shared" si="82"/>
        <v>0</v>
      </c>
      <c r="L95" s="142">
        <f t="shared" si="82"/>
        <v>0</v>
      </c>
      <c r="N95" s="540"/>
      <c r="O95" s="296"/>
      <c r="P95" s="297"/>
      <c r="Q95" s="297"/>
      <c r="R95" s="297"/>
      <c r="S95" s="298"/>
      <c r="U95" s="142">
        <f>U103+U93</f>
        <v>0</v>
      </c>
      <c r="V95" s="142">
        <f t="shared" ref="V95:X95" si="83">V103+V93</f>
        <v>0</v>
      </c>
      <c r="W95" s="142">
        <f t="shared" si="83"/>
        <v>0</v>
      </c>
      <c r="X95" s="142">
        <f t="shared" si="83"/>
        <v>0</v>
      </c>
    </row>
    <row r="96" spans="2:25" x14ac:dyDescent="0.2">
      <c r="B96" s="540"/>
      <c r="C96" s="296"/>
      <c r="D96" s="297"/>
      <c r="E96" s="297"/>
      <c r="F96" s="297"/>
      <c r="G96" s="298"/>
      <c r="N96" s="540"/>
      <c r="O96" s="296"/>
      <c r="P96" s="297"/>
      <c r="Q96" s="297"/>
      <c r="R96" s="297"/>
      <c r="S96" s="298"/>
    </row>
    <row r="97" spans="2:30" ht="15" thickBot="1" x14ac:dyDescent="0.25">
      <c r="B97" s="541"/>
      <c r="C97" s="299"/>
      <c r="D97" s="300"/>
      <c r="E97" s="300"/>
      <c r="F97" s="300"/>
      <c r="G97" s="301"/>
      <c r="I97" s="151"/>
      <c r="J97" s="151"/>
      <c r="K97" s="151"/>
      <c r="L97" s="151"/>
      <c r="N97" s="541"/>
      <c r="O97" s="299"/>
      <c r="P97" s="300"/>
      <c r="Q97" s="300"/>
      <c r="R97" s="299"/>
      <c r="S97" s="301"/>
      <c r="Y97" s="142"/>
    </row>
    <row r="98" spans="2:30" ht="15" x14ac:dyDescent="0.25">
      <c r="B98" s="539">
        <v>12</v>
      </c>
      <c r="C98" s="293"/>
      <c r="D98" s="294"/>
      <c r="E98" s="294"/>
      <c r="F98" s="293"/>
      <c r="G98" s="295"/>
      <c r="I98" s="535" t="s">
        <v>377</v>
      </c>
      <c r="J98" s="535"/>
      <c r="K98" s="535"/>
      <c r="L98" s="535"/>
      <c r="N98" s="539">
        <v>12</v>
      </c>
      <c r="O98" s="293"/>
      <c r="P98" s="294"/>
      <c r="Q98" s="294"/>
      <c r="R98" s="293"/>
      <c r="S98" s="295"/>
      <c r="U98" s="535" t="s">
        <v>377</v>
      </c>
      <c r="V98" s="535"/>
      <c r="W98" s="535"/>
      <c r="X98" s="535"/>
    </row>
    <row r="99" spans="2:30" x14ac:dyDescent="0.2">
      <c r="B99" s="540"/>
      <c r="C99" s="296"/>
      <c r="D99" s="297"/>
      <c r="E99" s="297"/>
      <c r="F99" s="297"/>
      <c r="G99" s="298"/>
      <c r="I99" s="151">
        <f>SUMIF($G98:$G105,I$9,$F98:$F105)+SUMIFS($F98:$F105,$G98:$G105,I$9,$E98:$E105,$AB$11)</f>
        <v>0</v>
      </c>
      <c r="J99" s="151">
        <f t="shared" ref="J99" si="84">SUMIF($G98:$G105,J$9,$F98:$F105)+SUMIFS($F98:$F105,$G98:$G105,J$9,$E98:$E105,$AB$11)</f>
        <v>0</v>
      </c>
      <c r="K99" s="151">
        <f t="shared" ref="K99" si="85">SUMIF($G98:$G105,K$9,$F98:$F105)+SUMIFS($F98:$F105,$G98:$G105,K$9,$E98:$E105,$AB$11)</f>
        <v>0</v>
      </c>
      <c r="L99" s="151">
        <f t="shared" ref="L99" si="86">SUMIF($G98:$G105,L$9,$F98:$F105)+SUMIFS($F98:$F105,$G98:$G105,L$9,$E98:$E105,$AB$11)</f>
        <v>0</v>
      </c>
      <c r="N99" s="540"/>
      <c r="O99" s="296"/>
      <c r="P99" s="297"/>
      <c r="Q99" s="297"/>
      <c r="R99" s="297"/>
      <c r="S99" s="298"/>
      <c r="U99" s="151">
        <f>SUMIF($S98:$S105,U$9,$R98:$R105)+SUMIFS($R98:$R105,$S98:$S105,U$9,$Q98:$Q105,$AB$11)</f>
        <v>0</v>
      </c>
      <c r="V99" s="151">
        <f t="shared" ref="V99" si="87">SUMIF($S98:$S105,V$9,$R98:$R105)+SUMIFS($R98:$R105,$S98:$S105,V$9,$Q98:$Q105,$AB$11)</f>
        <v>0</v>
      </c>
      <c r="W99" s="151">
        <f t="shared" ref="W99" si="88">SUMIF($S98:$S105,W$9,$R98:$R105)+SUMIFS($R98:$R105,$S98:$S105,W$9,$Q98:$Q105,$AB$11)</f>
        <v>0</v>
      </c>
      <c r="X99" s="151">
        <f t="shared" ref="X99" si="89">SUMIF($S98:$S105,X$9,$R98:$R105)+SUMIFS($R98:$R105,$S98:$S105,X$9,$Q98:$Q105,$AB$11)</f>
        <v>0</v>
      </c>
    </row>
    <row r="100" spans="2:30" ht="15" x14ac:dyDescent="0.25">
      <c r="B100" s="540"/>
      <c r="C100" s="296"/>
      <c r="D100" s="297"/>
      <c r="E100" s="297"/>
      <c r="F100" s="297"/>
      <c r="G100" s="298"/>
      <c r="I100" s="535" t="s">
        <v>378</v>
      </c>
      <c r="J100" s="535"/>
      <c r="K100" s="535"/>
      <c r="L100" s="535"/>
      <c r="N100" s="540"/>
      <c r="O100" s="296"/>
      <c r="P100" s="297"/>
      <c r="Q100" s="297"/>
      <c r="R100" s="297"/>
      <c r="S100" s="298"/>
      <c r="U100" s="535" t="s">
        <v>378</v>
      </c>
      <c r="V100" s="535"/>
      <c r="W100" s="535"/>
      <c r="X100" s="535"/>
    </row>
    <row r="101" spans="2:30" x14ac:dyDescent="0.2">
      <c r="B101" s="540"/>
      <c r="C101" s="296"/>
      <c r="D101" s="297"/>
      <c r="E101" s="297"/>
      <c r="F101" s="297"/>
      <c r="G101" s="298"/>
      <c r="I101" s="142">
        <f>I99*'ESTUDIANTES Y DOCENTES'!$AI$43</f>
        <v>0</v>
      </c>
      <c r="J101" s="142">
        <f>J99*'ESTUDIANTES Y DOCENTES'!$AI$43</f>
        <v>0</v>
      </c>
      <c r="K101" s="142">
        <f>K99*'ESTUDIANTES Y DOCENTES'!$AI$43</f>
        <v>0</v>
      </c>
      <c r="L101" s="142">
        <f>L99*'ESTUDIANTES Y DOCENTES'!$AI$43</f>
        <v>0</v>
      </c>
      <c r="N101" s="540"/>
      <c r="O101" s="296"/>
      <c r="P101" s="297"/>
      <c r="Q101" s="297"/>
      <c r="R101" s="297"/>
      <c r="S101" s="298"/>
      <c r="U101" s="142">
        <f>U99*'ESTUDIANTES Y DOCENTES'!$AQ$43</f>
        <v>0</v>
      </c>
      <c r="V101" s="142">
        <f>V99*'ESTUDIANTES Y DOCENTES'!$AQ$43</f>
        <v>0</v>
      </c>
      <c r="W101" s="142">
        <f>W99*'ESTUDIANTES Y DOCENTES'!$AQ$43</f>
        <v>0</v>
      </c>
      <c r="X101" s="142">
        <f>X99*'ESTUDIANTES Y DOCENTES'!$AQ$43</f>
        <v>0</v>
      </c>
    </row>
    <row r="102" spans="2:30" ht="15" x14ac:dyDescent="0.25">
      <c r="B102" s="540"/>
      <c r="C102" s="296"/>
      <c r="D102" s="297"/>
      <c r="E102" s="297"/>
      <c r="F102" s="297"/>
      <c r="G102" s="298"/>
      <c r="I102" s="535" t="s">
        <v>379</v>
      </c>
      <c r="J102" s="535"/>
      <c r="K102" s="535"/>
      <c r="L102" s="535"/>
      <c r="N102" s="540"/>
      <c r="O102" s="296"/>
      <c r="P102" s="297"/>
      <c r="Q102" s="297"/>
      <c r="R102" s="297"/>
      <c r="S102" s="298"/>
      <c r="U102" s="535" t="s">
        <v>380</v>
      </c>
      <c r="V102" s="535"/>
      <c r="W102" s="535"/>
      <c r="X102" s="535"/>
    </row>
    <row r="103" spans="2:30" x14ac:dyDescent="0.2">
      <c r="B103" s="540"/>
      <c r="C103" s="296"/>
      <c r="D103" s="297"/>
      <c r="E103" s="297"/>
      <c r="F103" s="297"/>
      <c r="G103" s="298"/>
      <c r="I103" s="142">
        <f>I101+I95</f>
        <v>0</v>
      </c>
      <c r="J103" s="142">
        <f t="shared" ref="J103:L103" si="90">J101+J95</f>
        <v>0</v>
      </c>
      <c r="K103" s="142">
        <f t="shared" si="90"/>
        <v>0</v>
      </c>
      <c r="L103" s="142">
        <f t="shared" si="90"/>
        <v>0</v>
      </c>
      <c r="N103" s="540"/>
      <c r="O103" s="296"/>
      <c r="P103" s="297"/>
      <c r="Q103" s="297"/>
      <c r="R103" s="297"/>
      <c r="S103" s="298"/>
      <c r="U103" s="142">
        <f>U101</f>
        <v>0</v>
      </c>
      <c r="V103" s="142">
        <f t="shared" ref="V103:X103" si="91">V101</f>
        <v>0</v>
      </c>
      <c r="W103" s="142">
        <f t="shared" si="91"/>
        <v>0</v>
      </c>
      <c r="X103" s="142">
        <f t="shared" si="91"/>
        <v>0</v>
      </c>
    </row>
    <row r="104" spans="2:30" x14ac:dyDescent="0.2">
      <c r="B104" s="540"/>
      <c r="C104" s="296"/>
      <c r="D104" s="297"/>
      <c r="E104" s="297"/>
      <c r="F104" s="297"/>
      <c r="G104" s="298"/>
      <c r="N104" s="540"/>
      <c r="O104" s="296"/>
      <c r="P104" s="297"/>
      <c r="Q104" s="297"/>
      <c r="R104" s="297"/>
      <c r="S104" s="298"/>
    </row>
    <row r="105" spans="2:30" ht="15" thickBot="1" x14ac:dyDescent="0.25">
      <c r="B105" s="541"/>
      <c r="C105" s="299"/>
      <c r="D105" s="300"/>
      <c r="E105" s="300"/>
      <c r="F105" s="299"/>
      <c r="G105" s="301"/>
      <c r="I105" s="151"/>
      <c r="J105" s="151"/>
      <c r="K105" s="151"/>
      <c r="L105" s="151"/>
      <c r="N105" s="541"/>
      <c r="O105" s="299"/>
      <c r="P105" s="300"/>
      <c r="Q105" s="300"/>
      <c r="R105" s="299"/>
      <c r="S105" s="301"/>
      <c r="Y105" s="142"/>
    </row>
    <row r="106" spans="2:30" ht="9.75" customHeight="1" x14ac:dyDescent="0.2"/>
    <row r="107" spans="2:30" s="152" customFormat="1" ht="15" x14ac:dyDescent="0.25">
      <c r="C107" s="251" t="s">
        <v>381</v>
      </c>
      <c r="D107" s="153"/>
      <c r="E107" s="153"/>
      <c r="F107" s="252">
        <f>SUM(F9:F105)</f>
        <v>0</v>
      </c>
      <c r="G107" s="153"/>
      <c r="O107" s="251" t="s">
        <v>381</v>
      </c>
      <c r="P107" s="153"/>
      <c r="Q107" s="153"/>
      <c r="R107" s="252">
        <f>SUM(R9:R105)</f>
        <v>0</v>
      </c>
      <c r="S107" s="153"/>
      <c r="AA107" s="150"/>
      <c r="AB107" s="150"/>
      <c r="AC107" s="150"/>
      <c r="AD107" s="150"/>
    </row>
  </sheetData>
  <mergeCells count="106">
    <mergeCell ref="N74:N81"/>
    <mergeCell ref="N8:S8"/>
    <mergeCell ref="N10:N17"/>
    <mergeCell ref="N18:N25"/>
    <mergeCell ref="N26:N33"/>
    <mergeCell ref="N34:N41"/>
    <mergeCell ref="N98:N105"/>
    <mergeCell ref="B74:B81"/>
    <mergeCell ref="B82:B89"/>
    <mergeCell ref="B90:B97"/>
    <mergeCell ref="B98:B105"/>
    <mergeCell ref="N82:N89"/>
    <mergeCell ref="N90:N97"/>
    <mergeCell ref="I74:L74"/>
    <mergeCell ref="I76:L76"/>
    <mergeCell ref="I78:L78"/>
    <mergeCell ref="I82:L82"/>
    <mergeCell ref="I84:L84"/>
    <mergeCell ref="I86:L86"/>
    <mergeCell ref="I90:L90"/>
    <mergeCell ref="I92:L92"/>
    <mergeCell ref="I94:L94"/>
    <mergeCell ref="I26:L26"/>
    <mergeCell ref="I28:L28"/>
    <mergeCell ref="I30:L30"/>
    <mergeCell ref="B34:B41"/>
    <mergeCell ref="B42:B49"/>
    <mergeCell ref="B50:B57"/>
    <mergeCell ref="B58:B65"/>
    <mergeCell ref="B66:B73"/>
    <mergeCell ref="N42:N49"/>
    <mergeCell ref="N50:N57"/>
    <mergeCell ref="N58:N65"/>
    <mergeCell ref="N66:N73"/>
    <mergeCell ref="I102:L102"/>
    <mergeCell ref="U10:X10"/>
    <mergeCell ref="U12:X12"/>
    <mergeCell ref="U14:X14"/>
    <mergeCell ref="U18:X18"/>
    <mergeCell ref="U20:X20"/>
    <mergeCell ref="U22:X22"/>
    <mergeCell ref="U26:X26"/>
    <mergeCell ref="U28:X28"/>
    <mergeCell ref="U30:X30"/>
    <mergeCell ref="U34:X34"/>
    <mergeCell ref="U36:X36"/>
    <mergeCell ref="U38:X38"/>
    <mergeCell ref="U42:X42"/>
    <mergeCell ref="I60:L60"/>
    <mergeCell ref="I62:L62"/>
    <mergeCell ref="I66:L66"/>
    <mergeCell ref="I68:L68"/>
    <mergeCell ref="I70:L70"/>
    <mergeCell ref="I46:L46"/>
    <mergeCell ref="I50:L50"/>
    <mergeCell ref="I52:L52"/>
    <mergeCell ref="I54:L54"/>
    <mergeCell ref="I58:L58"/>
    <mergeCell ref="U102:X102"/>
    <mergeCell ref="C7:S7"/>
    <mergeCell ref="U84:X84"/>
    <mergeCell ref="U86:X86"/>
    <mergeCell ref="U90:X90"/>
    <mergeCell ref="U92:X92"/>
    <mergeCell ref="U94:X94"/>
    <mergeCell ref="U70:X70"/>
    <mergeCell ref="U74:X74"/>
    <mergeCell ref="U76:X76"/>
    <mergeCell ref="U78:X78"/>
    <mergeCell ref="U82:X82"/>
    <mergeCell ref="U58:X58"/>
    <mergeCell ref="U60:X60"/>
    <mergeCell ref="U62:X62"/>
    <mergeCell ref="U66:X66"/>
    <mergeCell ref="U68:X68"/>
    <mergeCell ref="U44:X44"/>
    <mergeCell ref="U46:X46"/>
    <mergeCell ref="U50:X50"/>
    <mergeCell ref="U52:X52"/>
    <mergeCell ref="U54:X54"/>
    <mergeCell ref="I98:L98"/>
    <mergeCell ref="I100:L100"/>
    <mergeCell ref="B2:C4"/>
    <mergeCell ref="D2:I4"/>
    <mergeCell ref="P2:S2"/>
    <mergeCell ref="P3:S3"/>
    <mergeCell ref="P4:S4"/>
    <mergeCell ref="J2:O3"/>
    <mergeCell ref="J4:O4"/>
    <mergeCell ref="U98:X98"/>
    <mergeCell ref="U100:X100"/>
    <mergeCell ref="I34:L34"/>
    <mergeCell ref="I36:L36"/>
    <mergeCell ref="I38:L38"/>
    <mergeCell ref="I42:L42"/>
    <mergeCell ref="I44:L44"/>
    <mergeCell ref="B8:G8"/>
    <mergeCell ref="B10:B17"/>
    <mergeCell ref="B18:B25"/>
    <mergeCell ref="B26:B33"/>
    <mergeCell ref="I10:L10"/>
    <mergeCell ref="I12:L12"/>
    <mergeCell ref="I14:L14"/>
    <mergeCell ref="I18:L18"/>
    <mergeCell ref="I20:L20"/>
    <mergeCell ref="I22:L22"/>
  </mergeCells>
  <conditionalFormatting sqref="B10 B18 B26 B34 B42 B50 B58 B66 B74 B82 B90 B98">
    <cfRule type="expression" dxfId="41" priority="315">
      <formula>#REF!="CG"</formula>
    </cfRule>
    <cfRule type="expression" dxfId="40" priority="314">
      <formula>#REF!="CE"</formula>
    </cfRule>
  </conditionalFormatting>
  <conditionalFormatting sqref="B10">
    <cfRule type="containsText" dxfId="39" priority="283" operator="containsText" text="0">
      <formula>NOT(ISERROR(SEARCH("0",B10)))</formula>
    </cfRule>
  </conditionalFormatting>
  <conditionalFormatting sqref="B18">
    <cfRule type="containsText" dxfId="38" priority="217" operator="containsText" text="0">
      <formula>NOT(ISERROR(SEARCH("0",B18)))</formula>
    </cfRule>
  </conditionalFormatting>
  <conditionalFormatting sqref="B26">
    <cfRule type="containsText" dxfId="37" priority="214" operator="containsText" text="0">
      <formula>NOT(ISERROR(SEARCH("0",B26)))</formula>
    </cfRule>
  </conditionalFormatting>
  <conditionalFormatting sqref="B34">
    <cfRule type="containsText" dxfId="36" priority="211" operator="containsText" text="0">
      <formula>NOT(ISERROR(SEARCH("0",B34)))</formula>
    </cfRule>
  </conditionalFormatting>
  <conditionalFormatting sqref="B42">
    <cfRule type="containsText" dxfId="35" priority="208" operator="containsText" text="0">
      <formula>NOT(ISERROR(SEARCH("0",B42)))</formula>
    </cfRule>
  </conditionalFormatting>
  <conditionalFormatting sqref="B50">
    <cfRule type="containsText" dxfId="34" priority="205" operator="containsText" text="0">
      <formula>NOT(ISERROR(SEARCH("0",B50)))</formula>
    </cfRule>
  </conditionalFormatting>
  <conditionalFormatting sqref="B58">
    <cfRule type="containsText" dxfId="33" priority="202" operator="containsText" text="0">
      <formula>NOT(ISERROR(SEARCH("0",B58)))</formula>
    </cfRule>
  </conditionalFormatting>
  <conditionalFormatting sqref="B66">
    <cfRule type="containsText" dxfId="32" priority="199" operator="containsText" text="0">
      <formula>NOT(ISERROR(SEARCH("0",B66)))</formula>
    </cfRule>
  </conditionalFormatting>
  <conditionalFormatting sqref="B74">
    <cfRule type="containsText" dxfId="31" priority="196" operator="containsText" text="0">
      <formula>NOT(ISERROR(SEARCH("0",B74)))</formula>
    </cfRule>
  </conditionalFormatting>
  <conditionalFormatting sqref="B82">
    <cfRule type="containsText" dxfId="30" priority="187" operator="containsText" text="0">
      <formula>NOT(ISERROR(SEARCH("0",B82)))</formula>
    </cfRule>
  </conditionalFormatting>
  <conditionalFormatting sqref="B90">
    <cfRule type="containsText" dxfId="29" priority="181" operator="containsText" text="0">
      <formula>NOT(ISERROR(SEARCH("0",B90)))</formula>
    </cfRule>
  </conditionalFormatting>
  <conditionalFormatting sqref="B98">
    <cfRule type="containsText" dxfId="28" priority="178" operator="containsText" text="0">
      <formula>NOT(ISERROR(SEARCH("0",B98)))</formula>
    </cfRule>
  </conditionalFormatting>
  <conditionalFormatting sqref="N10 N18 N26 N34 N42 N50 N58 N66 N74 N90 N98">
    <cfRule type="expression" dxfId="23" priority="177">
      <formula>#REF!="CG"</formula>
    </cfRule>
    <cfRule type="expression" dxfId="22" priority="176">
      <formula>#REF!="CE"</formula>
    </cfRule>
  </conditionalFormatting>
  <conditionalFormatting sqref="N10">
    <cfRule type="containsText" dxfId="21" priority="175" operator="containsText" text="0">
      <formula>NOT(ISERROR(SEARCH("0",N10)))</formula>
    </cfRule>
  </conditionalFormatting>
  <conditionalFormatting sqref="N18">
    <cfRule type="containsText" dxfId="20" priority="174" operator="containsText" text="0">
      <formula>NOT(ISERROR(SEARCH("0",N18)))</formula>
    </cfRule>
  </conditionalFormatting>
  <conditionalFormatting sqref="N26">
    <cfRule type="containsText" dxfId="19" priority="173" operator="containsText" text="0">
      <formula>NOT(ISERROR(SEARCH("0",N26)))</formula>
    </cfRule>
  </conditionalFormatting>
  <conditionalFormatting sqref="N34">
    <cfRule type="containsText" dxfId="18" priority="172" operator="containsText" text="0">
      <formula>NOT(ISERROR(SEARCH("0",N34)))</formula>
    </cfRule>
  </conditionalFormatting>
  <conditionalFormatting sqref="N42">
    <cfRule type="containsText" dxfId="17" priority="171" operator="containsText" text="0">
      <formula>NOT(ISERROR(SEARCH("0",N42)))</formula>
    </cfRule>
  </conditionalFormatting>
  <conditionalFormatting sqref="N50">
    <cfRule type="containsText" dxfId="16" priority="170" operator="containsText" text="0">
      <formula>NOT(ISERROR(SEARCH("0",N50)))</formula>
    </cfRule>
  </conditionalFormatting>
  <conditionalFormatting sqref="N58">
    <cfRule type="containsText" dxfId="15" priority="169" operator="containsText" text="0">
      <formula>NOT(ISERROR(SEARCH("0",N58)))</formula>
    </cfRule>
  </conditionalFormatting>
  <conditionalFormatting sqref="N66">
    <cfRule type="containsText" dxfId="14" priority="168" operator="containsText" text="0">
      <formula>NOT(ISERROR(SEARCH("0",N66)))</formula>
    </cfRule>
  </conditionalFormatting>
  <conditionalFormatting sqref="N74">
    <cfRule type="containsText" dxfId="13" priority="167" operator="containsText" text="0">
      <formula>NOT(ISERROR(SEARCH("0",N74)))</formula>
    </cfRule>
  </conditionalFormatting>
  <conditionalFormatting sqref="N82">
    <cfRule type="expression" dxfId="12" priority="155">
      <formula>#REF!="CG"</formula>
    </cfRule>
    <cfRule type="expression" dxfId="11" priority="154">
      <formula>#REF!="CE"</formula>
    </cfRule>
    <cfRule type="containsText" dxfId="10" priority="153" operator="containsText" text="0">
      <formula>NOT(ISERROR(SEARCH("0",N82)))</formula>
    </cfRule>
  </conditionalFormatting>
  <conditionalFormatting sqref="N90">
    <cfRule type="containsText" dxfId="9" priority="165" operator="containsText" text="0">
      <formula>NOT(ISERROR(SEARCH("0",N90)))</formula>
    </cfRule>
  </conditionalFormatting>
  <conditionalFormatting sqref="N98">
    <cfRule type="containsText" dxfId="8" priority="164" operator="containsText" text="0">
      <formula>NOT(ISERROR(SEARCH("0",N98)))</formula>
    </cfRule>
  </conditionalFormatting>
  <dataValidations count="4">
    <dataValidation type="textLength" operator="lessThan" allowBlank="1" showInputMessage="1" showErrorMessage="1" errorTitle="EL NÚMERO DE DATOS NO ES VALIDO" error="No puede ingresar más de 66 caracteres" prompt="Recuerde que no puede ingresar más de 66 caracteres" sqref="B10 B18 B26 B34 B42 B50 B58 B66 B74 B82 B90 B98 N10 N18 N26 N34 N42 N50 N58 N66 N74 N82 N90 N98" xr:uid="{00000000-0002-0000-0400-000000000000}">
      <formula1>66</formula1>
    </dataValidation>
    <dataValidation type="list" allowBlank="1" showInputMessage="1" showErrorMessage="1" sqref="D10:D105 P10:P105" xr:uid="{8ADDAE1B-4377-4D63-83BE-D889A40D30E3}">
      <formula1>"T,TP,P"</formula1>
    </dataValidation>
    <dataValidation type="list" allowBlank="1" showInputMessage="1" showErrorMessage="1" sqref="E10:E105 Q10:Q105" xr:uid="{C31673C1-61C7-4CFA-84EE-39CCF9323C55}">
      <formula1>"O,E"</formula1>
    </dataValidation>
    <dataValidation type="list" allowBlank="1" showInputMessage="1" showErrorMessage="1" sqref="G10:G105 S10:S105" xr:uid="{F202253B-BFAD-4CE7-84BC-1928604B04F8}">
      <formula1>"Dex,TC,MT,HC"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19C265B8-DC0A-4ABA-8977-B2E7FFF35CB0}">
            <xm:f>NOT(ISERROR(SEARCH($W$9,G10)))</xm:f>
            <xm:f>$W$9</xm:f>
            <x14:dxf>
              <fill>
                <patternFill>
                  <bgColor theme="5" tint="0.39994506668294322"/>
                </patternFill>
              </fill>
            </x14:dxf>
          </x14:cfRule>
          <x14:cfRule type="containsText" priority="5" operator="containsText" id="{8288BA46-D219-40DF-A123-79E8AC209878}">
            <xm:f>NOT(ISERROR(SEARCH($X$9,G10)))</xm:f>
            <xm:f>$X$9</xm:f>
            <x14:dxf>
              <fill>
                <patternFill>
                  <bgColor theme="0"/>
                </patternFill>
              </fill>
            </x14:dxf>
          </x14:cfRule>
          <x14:cfRule type="containsText" priority="7" operator="containsText" id="{9674AF0D-7C91-49ED-B8F4-9DD014E040C0}">
            <xm:f>NOT(ISERROR(SEARCH($V$9,G10)))</xm:f>
            <xm:f>$V$9</xm:f>
            <x14:dxf>
              <fill>
                <patternFill>
                  <bgColor rgb="FFFFFF00"/>
                </patternFill>
              </fill>
            </x14:dxf>
          </x14:cfRule>
          <x14:cfRule type="containsText" priority="8" operator="containsText" id="{02E43DA0-6386-40C8-BB22-3FC1EEC4052B}">
            <xm:f>NOT(ISERROR(SEARCH($U$9,G10)))</xm:f>
            <xm:f>$U$9</xm:f>
            <x14:dxf>
              <fill>
                <patternFill>
                  <bgColor rgb="FF00B0F0"/>
                </patternFill>
              </fill>
            </x14:dxf>
          </x14:cfRule>
          <xm:sqref>G10:G105</xm:sqref>
        </x14:conditionalFormatting>
        <x14:conditionalFormatting xmlns:xm="http://schemas.microsoft.com/office/excel/2006/main">
          <x14:cfRule type="containsText" priority="4" operator="containsText" id="{3F0E848C-32EC-4F59-98BA-50863A38F105}">
            <xm:f>NOT(ISERROR(SEARCH($U$9,S10)))</xm:f>
            <xm:f>$U$9</xm:f>
            <x14:dxf>
              <fill>
                <patternFill>
                  <bgColor rgb="FF00B0F0"/>
                </patternFill>
              </fill>
            </x14:dxf>
          </x14:cfRule>
          <x14:cfRule type="containsText" priority="1" operator="containsText" id="{4DDC7F61-F4E3-4874-BC4F-A54716D3A0EC}">
            <xm:f>NOT(ISERROR(SEARCH($X$9,S10)))</xm:f>
            <xm:f>$X$9</xm:f>
            <x14:dxf>
              <fill>
                <patternFill>
                  <bgColor theme="0"/>
                </patternFill>
              </fill>
            </x14:dxf>
          </x14:cfRule>
          <x14:cfRule type="containsText" priority="3" operator="containsText" id="{A3AD8B7A-AB39-491C-BC6E-46C7F70B9CFF}">
            <xm:f>NOT(ISERROR(SEARCH($V$9,S10)))</xm:f>
            <xm:f>$V$9</xm:f>
            <x14:dxf>
              <fill>
                <patternFill>
                  <bgColor rgb="FFFFFF00"/>
                </patternFill>
              </fill>
            </x14:dxf>
          </x14:cfRule>
          <x14:cfRule type="containsText" priority="2" operator="containsText" id="{1568A0B2-8354-4380-A86F-4EF2BC7BF1ED}">
            <xm:f>NOT(ISERROR(SEARCH($W$9,S10)))</xm:f>
            <xm:f>$W$9</xm:f>
            <x14:dxf>
              <fill>
                <patternFill>
                  <bgColor theme="5" tint="0.39994506668294322"/>
                </patternFill>
              </fill>
            </x14:dxf>
          </x14:cfRule>
          <xm:sqref>S10:S105</xm:sqref>
        </x14:conditionalFormatting>
        <x14:conditionalFormatting xmlns:xm="http://schemas.microsoft.com/office/excel/2006/main">
          <x14:cfRule type="containsText" priority="40" operator="containsText" id="{D63CD0ED-1759-430D-B6C0-67A69B9B76DE}">
            <xm:f>NOT(ISERROR(SEARCH($U$9,S11)))</xm:f>
            <xm:f>$U$9</xm:f>
            <x14:dxf>
              <fill>
                <patternFill>
                  <bgColor rgb="FF00B0F0"/>
                </patternFill>
              </fill>
            </x14:dxf>
          </x14:cfRule>
          <x14:cfRule type="containsText" priority="39" operator="containsText" id="{D33A15F0-22C5-4964-B93F-D0AD9F1EE89F}">
            <xm:f>NOT(ISERROR(SEARCH($V$9,S11)))</xm:f>
            <xm:f>$V$9</xm:f>
            <x14:dxf>
              <fill>
                <patternFill>
                  <bgColor rgb="FFFFFF00"/>
                </patternFill>
              </fill>
            </x14:dxf>
          </x14:cfRule>
          <x14:cfRule type="containsText" priority="38" operator="containsText" id="{FF5E02A4-7B87-4AF8-9445-C854DE37A2E9}">
            <xm:f>NOT(ISERROR(SEARCH($W$9,S11)))</xm:f>
            <xm:f>$W$9</xm:f>
            <x14:dxf>
              <fill>
                <patternFill>
                  <bgColor theme="5" tint="0.39994506668294322"/>
                </patternFill>
              </fill>
            </x14:dxf>
          </x14:cfRule>
          <x14:cfRule type="containsText" priority="37" operator="containsText" id="{98D4ACFA-6C27-44CB-BB83-2C90EA06C9DC}">
            <xm:f>NOT(ISERROR(SEARCH($X$9,S11)))</xm:f>
            <xm:f>$X$9</xm:f>
            <x14:dxf>
              <fill>
                <patternFill>
                  <bgColor theme="0"/>
                </patternFill>
              </fill>
            </x14:dxf>
          </x14:cfRule>
          <xm:sqref>S11:S105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6"/>
  <sheetViews>
    <sheetView showGridLines="0" zoomScale="90" zoomScaleNormal="90" workbookViewId="0">
      <selection activeCell="H4" sqref="H4"/>
    </sheetView>
  </sheetViews>
  <sheetFormatPr baseColWidth="10" defaultColWidth="19.28515625" defaultRowHeight="14.25" x14ac:dyDescent="0.2"/>
  <cols>
    <col min="1" max="1" width="3.140625" style="106" customWidth="1"/>
    <col min="2" max="3" width="17.28515625" style="106" customWidth="1"/>
    <col min="4" max="4" width="16.85546875" style="106" customWidth="1"/>
    <col min="5" max="7" width="17.42578125" style="106" customWidth="1"/>
    <col min="8" max="8" width="21.7109375" style="106" customWidth="1"/>
    <col min="9" max="16384" width="19.28515625" style="106"/>
  </cols>
  <sheetData>
    <row r="2" spans="2:12" ht="35.25" customHeight="1" x14ac:dyDescent="0.25">
      <c r="B2" s="546" t="e" vm="1">
        <v>#VALUE!</v>
      </c>
      <c r="C2" s="546" t="e" vm="2">
        <v>#VALUE!</v>
      </c>
      <c r="D2" s="379" t="s">
        <v>460</v>
      </c>
      <c r="E2" s="371"/>
      <c r="F2" s="371"/>
      <c r="G2" s="372"/>
      <c r="H2" s="250" t="s">
        <v>459</v>
      </c>
      <c r="I2"/>
      <c r="J2"/>
      <c r="K2"/>
      <c r="L2"/>
    </row>
    <row r="3" spans="2:12" ht="35.25" customHeight="1" x14ac:dyDescent="0.2">
      <c r="B3" s="547"/>
      <c r="C3" s="547"/>
      <c r="D3" s="376"/>
      <c r="E3" s="377"/>
      <c r="F3" s="377"/>
      <c r="G3" s="378"/>
      <c r="H3" s="91" t="s">
        <v>482</v>
      </c>
    </row>
    <row r="4" spans="2:12" ht="35.25" customHeight="1" x14ac:dyDescent="0.2">
      <c r="B4" s="548"/>
      <c r="C4" s="548"/>
      <c r="D4" s="380" t="s">
        <v>461</v>
      </c>
      <c r="E4" s="381"/>
      <c r="F4" s="381"/>
      <c r="G4" s="382"/>
      <c r="H4" s="253" t="s">
        <v>479</v>
      </c>
    </row>
    <row r="6" spans="2:12" ht="15.75" x14ac:dyDescent="0.25">
      <c r="B6" s="550" t="s">
        <v>245</v>
      </c>
      <c r="C6" s="550"/>
      <c r="D6" s="550"/>
      <c r="E6" s="550"/>
      <c r="F6" s="550"/>
      <c r="G6" s="550"/>
    </row>
    <row r="7" spans="2:12" ht="15.75" x14ac:dyDescent="0.25">
      <c r="B7" s="139"/>
      <c r="C7" s="139"/>
      <c r="D7" s="139"/>
      <c r="E7" s="139"/>
      <c r="F7" s="255">
        <v>0.52</v>
      </c>
      <c r="G7" s="139"/>
    </row>
    <row r="8" spans="2:12" ht="15.75" x14ac:dyDescent="0.25">
      <c r="B8" s="549" t="s">
        <v>250</v>
      </c>
      <c r="C8" s="549"/>
      <c r="D8" s="549"/>
      <c r="E8" s="549"/>
      <c r="F8" s="549"/>
      <c r="G8" s="549"/>
    </row>
    <row r="9" spans="2:12" ht="30" x14ac:dyDescent="0.2">
      <c r="B9" s="231" t="s">
        <v>320</v>
      </c>
      <c r="C9" s="231" t="s">
        <v>315</v>
      </c>
      <c r="D9" s="232" t="s">
        <v>316</v>
      </c>
      <c r="E9" s="232" t="s">
        <v>247</v>
      </c>
      <c r="F9" s="231" t="s">
        <v>248</v>
      </c>
      <c r="G9" s="232" t="s">
        <v>249</v>
      </c>
      <c r="H9" s="233" t="s">
        <v>389</v>
      </c>
    </row>
    <row r="10" spans="2:12" x14ac:dyDescent="0.2">
      <c r="B10" s="228" t="s">
        <v>276</v>
      </c>
      <c r="C10" s="229">
        <f>TARIFAS!E14</f>
        <v>68004.645380434784</v>
      </c>
      <c r="D10" s="229">
        <f>'ESTUDIANTES Y DOCENTES'!D49+'ESTUDIANTES Y DOCENTES'!F49</f>
        <v>0</v>
      </c>
      <c r="E10" s="230">
        <f t="shared" ref="E10:E16" si="0">C10*D10</f>
        <v>0</v>
      </c>
      <c r="F10" s="230">
        <f t="shared" ref="F10:F16" si="1">E10*$F$7</f>
        <v>0</v>
      </c>
      <c r="G10" s="230">
        <f t="shared" ref="G10:G16" si="2">E10+F10</f>
        <v>0</v>
      </c>
      <c r="H10" s="234">
        <f>ROUNDUP(D10/TARIFAS!$L$14,0)</f>
        <v>0</v>
      </c>
    </row>
    <row r="11" spans="2:12" x14ac:dyDescent="0.2">
      <c r="B11" s="228" t="s">
        <v>277</v>
      </c>
      <c r="C11" s="229">
        <f>C10*(1+CONSOLIDADO!G$77)</f>
        <v>71404.877649456525</v>
      </c>
      <c r="D11" s="229">
        <f>'ESTUDIANTES Y DOCENTES'!H49+'ESTUDIANTES Y DOCENTES'!J49</f>
        <v>0</v>
      </c>
      <c r="E11" s="230">
        <f t="shared" si="0"/>
        <v>0</v>
      </c>
      <c r="F11" s="230">
        <f t="shared" si="1"/>
        <v>0</v>
      </c>
      <c r="G11" s="230">
        <f t="shared" si="2"/>
        <v>0</v>
      </c>
      <c r="H11" s="234">
        <f>ROUNDUP(D11/TARIFAS!$L$14,0)</f>
        <v>0</v>
      </c>
    </row>
    <row r="12" spans="2:12" x14ac:dyDescent="0.2">
      <c r="B12" s="228" t="s">
        <v>278</v>
      </c>
      <c r="C12" s="229">
        <f>C11*(1+CONSOLIDADO!H$77)</f>
        <v>74975.121531929355</v>
      </c>
      <c r="D12" s="229">
        <f>'ESTUDIANTES Y DOCENTES'!L49+'ESTUDIANTES Y DOCENTES'!N49</f>
        <v>0</v>
      </c>
      <c r="E12" s="230">
        <f t="shared" si="0"/>
        <v>0</v>
      </c>
      <c r="F12" s="230">
        <f t="shared" si="1"/>
        <v>0</v>
      </c>
      <c r="G12" s="230">
        <f t="shared" si="2"/>
        <v>0</v>
      </c>
      <c r="H12" s="234">
        <f>ROUNDUP(D12/TARIFAS!$L$14,0)</f>
        <v>0</v>
      </c>
    </row>
    <row r="13" spans="2:12" x14ac:dyDescent="0.2">
      <c r="B13" s="228" t="s">
        <v>279</v>
      </c>
      <c r="C13" s="229">
        <f>C12*(1+CONSOLIDADO!I$77)</f>
        <v>78723.877608525829</v>
      </c>
      <c r="D13" s="229">
        <f>'ESTUDIANTES Y DOCENTES'!P49+'ESTUDIANTES Y DOCENTES'!R49</f>
        <v>0</v>
      </c>
      <c r="E13" s="230">
        <f t="shared" si="0"/>
        <v>0</v>
      </c>
      <c r="F13" s="230">
        <f t="shared" si="1"/>
        <v>0</v>
      </c>
      <c r="G13" s="230">
        <f t="shared" si="2"/>
        <v>0</v>
      </c>
      <c r="H13" s="234">
        <f>ROUNDUP(D13/TARIFAS!$L$14,0)</f>
        <v>0</v>
      </c>
    </row>
    <row r="14" spans="2:12" x14ac:dyDescent="0.2">
      <c r="B14" s="228" t="s">
        <v>284</v>
      </c>
      <c r="C14" s="229">
        <f>C13*(1+CONSOLIDADO!J$77)</f>
        <v>82660.071488952119</v>
      </c>
      <c r="D14" s="229">
        <f>'ESTUDIANTES Y DOCENTES'!T49+'ESTUDIANTES Y DOCENTES'!V49</f>
        <v>0</v>
      </c>
      <c r="E14" s="230">
        <f t="shared" si="0"/>
        <v>0</v>
      </c>
      <c r="F14" s="230">
        <f t="shared" si="1"/>
        <v>0</v>
      </c>
      <c r="G14" s="230">
        <f t="shared" si="2"/>
        <v>0</v>
      </c>
      <c r="H14" s="234">
        <f>ROUNDUP(D14/TARIFAS!$L$14,0)</f>
        <v>0</v>
      </c>
    </row>
    <row r="15" spans="2:12" x14ac:dyDescent="0.2">
      <c r="B15" s="228" t="s">
        <v>340</v>
      </c>
      <c r="C15" s="229">
        <f>C14*(1+CONSOLIDADO!K$77)</f>
        <v>86793.075063399723</v>
      </c>
      <c r="D15" s="229">
        <f>'ESTUDIANTES Y DOCENTES'!X49+'ESTUDIANTES Y DOCENTES'!Z49</f>
        <v>0</v>
      </c>
      <c r="E15" s="230">
        <f t="shared" si="0"/>
        <v>0</v>
      </c>
      <c r="F15" s="230">
        <f t="shared" si="1"/>
        <v>0</v>
      </c>
      <c r="G15" s="230">
        <f t="shared" si="2"/>
        <v>0</v>
      </c>
      <c r="H15" s="234">
        <f>ROUNDUP(D15/TARIFAS!$L$14,0)</f>
        <v>0</v>
      </c>
    </row>
    <row r="16" spans="2:12" x14ac:dyDescent="0.2">
      <c r="B16" s="228" t="s">
        <v>341</v>
      </c>
      <c r="C16" s="229">
        <f>C15*(1+CONSOLIDADO!L$77)</f>
        <v>91132.72881656971</v>
      </c>
      <c r="D16" s="229">
        <f>'ESTUDIANTES Y DOCENTES'!AB49+'ESTUDIANTES Y DOCENTES'!AD49</f>
        <v>0</v>
      </c>
      <c r="E16" s="230">
        <f t="shared" si="0"/>
        <v>0</v>
      </c>
      <c r="F16" s="230">
        <f t="shared" si="1"/>
        <v>0</v>
      </c>
      <c r="G16" s="230">
        <f t="shared" si="2"/>
        <v>0</v>
      </c>
      <c r="H16" s="234">
        <f>ROUNDUP(D16/TARIFAS!$L$14,0)</f>
        <v>0</v>
      </c>
    </row>
    <row r="18" spans="2:8" ht="15.75" x14ac:dyDescent="0.25">
      <c r="B18" s="549" t="s">
        <v>246</v>
      </c>
      <c r="C18" s="549"/>
      <c r="D18" s="549"/>
      <c r="E18" s="549"/>
      <c r="F18" s="549"/>
      <c r="G18" s="549"/>
    </row>
    <row r="19" spans="2:8" ht="30" x14ac:dyDescent="0.2">
      <c r="B19" s="231" t="s">
        <v>320</v>
      </c>
      <c r="C19" s="231" t="s">
        <v>315</v>
      </c>
      <c r="D19" s="232" t="s">
        <v>316</v>
      </c>
      <c r="E19" s="232" t="s">
        <v>247</v>
      </c>
      <c r="F19" s="231" t="s">
        <v>248</v>
      </c>
      <c r="G19" s="232" t="s">
        <v>249</v>
      </c>
      <c r="H19" s="233" t="s">
        <v>389</v>
      </c>
    </row>
    <row r="20" spans="2:8" x14ac:dyDescent="0.2">
      <c r="B20" s="228" t="s">
        <v>276</v>
      </c>
      <c r="C20" s="229">
        <f>TARIFAS!E13</f>
        <v>87921.28125</v>
      </c>
      <c r="D20" s="229">
        <f>'ESTUDIANTES Y DOCENTES'!D48+'ESTUDIANTES Y DOCENTES'!F48</f>
        <v>0</v>
      </c>
      <c r="E20" s="230">
        <f t="shared" ref="E20:E26" si="3">C20*D20</f>
        <v>0</v>
      </c>
      <c r="F20" s="230">
        <f t="shared" ref="F20:F26" si="4">E20*$F$7</f>
        <v>0</v>
      </c>
      <c r="G20" s="230">
        <f t="shared" ref="G20:G26" si="5">E20+F20</f>
        <v>0</v>
      </c>
      <c r="H20" s="234">
        <f>ROUNDUP(D20/TARIFAS!$L$13,0)</f>
        <v>0</v>
      </c>
    </row>
    <row r="21" spans="2:8" x14ac:dyDescent="0.2">
      <c r="B21" s="228" t="s">
        <v>277</v>
      </c>
      <c r="C21" s="229">
        <f>C20*(1+CONSOLIDADO!G$77)</f>
        <v>92317.345312500009</v>
      </c>
      <c r="D21" s="229">
        <f>'ESTUDIANTES Y DOCENTES'!H48+'ESTUDIANTES Y DOCENTES'!J48</f>
        <v>0</v>
      </c>
      <c r="E21" s="230">
        <f t="shared" si="3"/>
        <v>0</v>
      </c>
      <c r="F21" s="230">
        <f t="shared" si="4"/>
        <v>0</v>
      </c>
      <c r="G21" s="230">
        <f t="shared" si="5"/>
        <v>0</v>
      </c>
      <c r="H21" s="234">
        <f>ROUNDUP(D21/TARIFAS!$L$13,0)</f>
        <v>0</v>
      </c>
    </row>
    <row r="22" spans="2:8" x14ac:dyDescent="0.2">
      <c r="B22" s="228" t="s">
        <v>278</v>
      </c>
      <c r="C22" s="229">
        <f>C21*(1+CONSOLIDADO!H$77)</f>
        <v>96933.212578125007</v>
      </c>
      <c r="D22" s="229">
        <f>'ESTUDIANTES Y DOCENTES'!L48+'ESTUDIANTES Y DOCENTES'!N48</f>
        <v>0</v>
      </c>
      <c r="E22" s="230">
        <f t="shared" si="3"/>
        <v>0</v>
      </c>
      <c r="F22" s="230">
        <f t="shared" si="4"/>
        <v>0</v>
      </c>
      <c r="G22" s="230">
        <f t="shared" si="5"/>
        <v>0</v>
      </c>
      <c r="H22" s="234">
        <f>ROUNDUP(D22/TARIFAS!$L$13,0)</f>
        <v>0</v>
      </c>
    </row>
    <row r="23" spans="2:8" x14ac:dyDescent="0.2">
      <c r="B23" s="228" t="s">
        <v>279</v>
      </c>
      <c r="C23" s="229">
        <f>C22*(1+CONSOLIDADO!I$77)</f>
        <v>101779.87320703125</v>
      </c>
      <c r="D23" s="229">
        <f>'ESTUDIANTES Y DOCENTES'!P48+'ESTUDIANTES Y DOCENTES'!R48</f>
        <v>0</v>
      </c>
      <c r="E23" s="230">
        <f t="shared" si="3"/>
        <v>0</v>
      </c>
      <c r="F23" s="230">
        <f t="shared" si="4"/>
        <v>0</v>
      </c>
      <c r="G23" s="230">
        <f t="shared" si="5"/>
        <v>0</v>
      </c>
      <c r="H23" s="234">
        <f>ROUNDUP(D23/TARIFAS!$L$13,0)</f>
        <v>0</v>
      </c>
    </row>
    <row r="24" spans="2:8" x14ac:dyDescent="0.2">
      <c r="B24" s="228" t="s">
        <v>284</v>
      </c>
      <c r="C24" s="229">
        <f>C23*(1+CONSOLIDADO!J$77)</f>
        <v>106868.86686738282</v>
      </c>
      <c r="D24" s="229">
        <f>'ESTUDIANTES Y DOCENTES'!T48+'ESTUDIANTES Y DOCENTES'!V48</f>
        <v>0</v>
      </c>
      <c r="E24" s="230">
        <f t="shared" si="3"/>
        <v>0</v>
      </c>
      <c r="F24" s="230">
        <f t="shared" si="4"/>
        <v>0</v>
      </c>
      <c r="G24" s="230">
        <f t="shared" si="5"/>
        <v>0</v>
      </c>
      <c r="H24" s="234">
        <f>ROUNDUP(D24/TARIFAS!$L$13,0)</f>
        <v>0</v>
      </c>
    </row>
    <row r="25" spans="2:8" x14ac:dyDescent="0.2">
      <c r="B25" s="228" t="s">
        <v>340</v>
      </c>
      <c r="C25" s="229">
        <f>C24*(1+CONSOLIDADO!K$77)</f>
        <v>112212.31021075197</v>
      </c>
      <c r="D25" s="229">
        <f>'ESTUDIANTES Y DOCENTES'!X48+'ESTUDIANTES Y DOCENTES'!Z48</f>
        <v>0</v>
      </c>
      <c r="E25" s="230">
        <f t="shared" si="3"/>
        <v>0</v>
      </c>
      <c r="F25" s="230">
        <f t="shared" si="4"/>
        <v>0</v>
      </c>
      <c r="G25" s="230">
        <f t="shared" si="5"/>
        <v>0</v>
      </c>
      <c r="H25" s="234">
        <f>ROUNDUP(D25/TARIFAS!$L$13,0)</f>
        <v>0</v>
      </c>
    </row>
    <row r="26" spans="2:8" x14ac:dyDescent="0.2">
      <c r="B26" s="228" t="s">
        <v>341</v>
      </c>
      <c r="C26" s="229">
        <f>C25*(1+CONSOLIDADO!L$77)</f>
        <v>117822.92572128958</v>
      </c>
      <c r="D26" s="229">
        <f>'ESTUDIANTES Y DOCENTES'!AB48+'ESTUDIANTES Y DOCENTES'!AD48</f>
        <v>0</v>
      </c>
      <c r="E26" s="230">
        <f t="shared" si="3"/>
        <v>0</v>
      </c>
      <c r="F26" s="230">
        <f t="shared" si="4"/>
        <v>0</v>
      </c>
      <c r="G26" s="230">
        <f t="shared" si="5"/>
        <v>0</v>
      </c>
      <c r="H26" s="234">
        <f>ROUNDUP(D26/TARIFAS!$L$13,0)</f>
        <v>0</v>
      </c>
    </row>
    <row r="27" spans="2:8" ht="15.75" x14ac:dyDescent="0.25">
      <c r="B27" s="139"/>
      <c r="C27" s="139"/>
      <c r="D27" s="139"/>
      <c r="E27" s="139"/>
      <c r="F27" s="139"/>
      <c r="G27" s="139"/>
    </row>
    <row r="28" spans="2:8" ht="15.75" x14ac:dyDescent="0.25">
      <c r="B28" s="549" t="s">
        <v>251</v>
      </c>
      <c r="C28" s="549"/>
      <c r="D28" s="549"/>
      <c r="E28" s="549"/>
      <c r="F28" s="549"/>
      <c r="G28" s="549"/>
    </row>
    <row r="29" spans="2:8" ht="30" x14ac:dyDescent="0.2">
      <c r="B29" s="231" t="s">
        <v>320</v>
      </c>
      <c r="C29" s="231" t="s">
        <v>315</v>
      </c>
      <c r="D29" s="232" t="s">
        <v>316</v>
      </c>
      <c r="E29" s="232" t="s">
        <v>247</v>
      </c>
      <c r="F29" s="231" t="s">
        <v>248</v>
      </c>
      <c r="G29" s="232" t="s">
        <v>249</v>
      </c>
      <c r="H29" s="233" t="s">
        <v>389</v>
      </c>
    </row>
    <row r="30" spans="2:8" x14ac:dyDescent="0.2">
      <c r="B30" s="228" t="s">
        <v>276</v>
      </c>
      <c r="C30" s="229">
        <f>TARIFAS!E15</f>
        <v>60951.29891304348</v>
      </c>
      <c r="D30" s="229">
        <f>'ESTUDIANTES Y DOCENTES'!D50+'ESTUDIANTES Y DOCENTES'!F50</f>
        <v>0</v>
      </c>
      <c r="E30" s="230">
        <f t="shared" ref="E30:E36" si="6">C30*D30</f>
        <v>0</v>
      </c>
      <c r="F30" s="230">
        <f t="shared" ref="F30:F36" si="7">E30*$F$7</f>
        <v>0</v>
      </c>
      <c r="G30" s="230">
        <f t="shared" ref="G30:G36" si="8">E30+F30</f>
        <v>0</v>
      </c>
      <c r="H30" s="234">
        <f>ROUNDUP(D30/TARIFAS!$L$15,0)</f>
        <v>0</v>
      </c>
    </row>
    <row r="31" spans="2:8" x14ac:dyDescent="0.2">
      <c r="B31" s="228" t="s">
        <v>277</v>
      </c>
      <c r="C31" s="229">
        <f>C30*(1+CONSOLIDADO!G$77)</f>
        <v>63998.863858695659</v>
      </c>
      <c r="D31" s="229">
        <f>'ESTUDIANTES Y DOCENTES'!H50+'ESTUDIANTES Y DOCENTES'!J50</f>
        <v>0</v>
      </c>
      <c r="E31" s="230">
        <f t="shared" si="6"/>
        <v>0</v>
      </c>
      <c r="F31" s="230">
        <f t="shared" si="7"/>
        <v>0</v>
      </c>
      <c r="G31" s="230">
        <f t="shared" si="8"/>
        <v>0</v>
      </c>
      <c r="H31" s="234">
        <f>ROUNDUP(D31/TARIFAS!$L$15,0)</f>
        <v>0</v>
      </c>
    </row>
    <row r="32" spans="2:8" x14ac:dyDescent="0.2">
      <c r="B32" s="228" t="s">
        <v>278</v>
      </c>
      <c r="C32" s="229">
        <f>C31*(1+CONSOLIDADO!H$77)</f>
        <v>67198.807051630443</v>
      </c>
      <c r="D32" s="229">
        <f>'ESTUDIANTES Y DOCENTES'!L50+'ESTUDIANTES Y DOCENTES'!N50</f>
        <v>0</v>
      </c>
      <c r="E32" s="230">
        <f t="shared" si="6"/>
        <v>0</v>
      </c>
      <c r="F32" s="230">
        <f t="shared" si="7"/>
        <v>0</v>
      </c>
      <c r="G32" s="230">
        <f t="shared" si="8"/>
        <v>0</v>
      </c>
      <c r="H32" s="234">
        <f>ROUNDUP(D32/TARIFAS!$L$15,0)</f>
        <v>0</v>
      </c>
    </row>
    <row r="33" spans="2:8" x14ac:dyDescent="0.2">
      <c r="B33" s="228" t="s">
        <v>279</v>
      </c>
      <c r="C33" s="229">
        <f>C32*(1+CONSOLIDADO!I$77)</f>
        <v>70558.747404211972</v>
      </c>
      <c r="D33" s="229">
        <f>'ESTUDIANTES Y DOCENTES'!P50+'ESTUDIANTES Y DOCENTES'!R50</f>
        <v>0</v>
      </c>
      <c r="E33" s="230">
        <f t="shared" si="6"/>
        <v>0</v>
      </c>
      <c r="F33" s="230">
        <f t="shared" si="7"/>
        <v>0</v>
      </c>
      <c r="G33" s="230">
        <f t="shared" si="8"/>
        <v>0</v>
      </c>
      <c r="H33" s="234">
        <f>ROUNDUP(D33/TARIFAS!$L$15,0)</f>
        <v>0</v>
      </c>
    </row>
    <row r="34" spans="2:8" x14ac:dyDescent="0.2">
      <c r="B34" s="228" t="s">
        <v>284</v>
      </c>
      <c r="C34" s="229">
        <f>C33*(1+CONSOLIDADO!J$77)</f>
        <v>74086.684774422567</v>
      </c>
      <c r="D34" s="229">
        <f>'ESTUDIANTES Y DOCENTES'!T50+'ESTUDIANTES Y DOCENTES'!V50</f>
        <v>0</v>
      </c>
      <c r="E34" s="230">
        <f t="shared" si="6"/>
        <v>0</v>
      </c>
      <c r="F34" s="230">
        <f t="shared" si="7"/>
        <v>0</v>
      </c>
      <c r="G34" s="230">
        <f t="shared" si="8"/>
        <v>0</v>
      </c>
      <c r="H34" s="234">
        <f>ROUNDUP(D34/TARIFAS!$L$15,0)</f>
        <v>0</v>
      </c>
    </row>
    <row r="35" spans="2:8" x14ac:dyDescent="0.2">
      <c r="B35" s="228" t="s">
        <v>340</v>
      </c>
      <c r="C35" s="229">
        <f>C34*(1+CONSOLIDADO!K$77)</f>
        <v>77791.019013143698</v>
      </c>
      <c r="D35" s="229">
        <f>'ESTUDIANTES Y DOCENTES'!X50+'ESTUDIANTES Y DOCENTES'!Z50</f>
        <v>0</v>
      </c>
      <c r="E35" s="230">
        <f>C35*D35</f>
        <v>0</v>
      </c>
      <c r="F35" s="230">
        <f>E35*$F$7</f>
        <v>0</v>
      </c>
      <c r="G35" s="230">
        <f>E35+F35</f>
        <v>0</v>
      </c>
      <c r="H35" s="234">
        <f>ROUNDUP(D35/TARIFAS!$L$15,0)</f>
        <v>0</v>
      </c>
    </row>
    <row r="36" spans="2:8" x14ac:dyDescent="0.2">
      <c r="B36" s="228" t="s">
        <v>341</v>
      </c>
      <c r="C36" s="229">
        <f>C35*(1+CONSOLIDADO!L$77)</f>
        <v>81680.569963800881</v>
      </c>
      <c r="D36" s="229">
        <f>'ESTUDIANTES Y DOCENTES'!AB50+'ESTUDIANTES Y DOCENTES'!AD50</f>
        <v>0</v>
      </c>
      <c r="E36" s="230">
        <f t="shared" si="6"/>
        <v>0</v>
      </c>
      <c r="F36" s="230">
        <f t="shared" si="7"/>
        <v>0</v>
      </c>
      <c r="G36" s="230">
        <f t="shared" si="8"/>
        <v>0</v>
      </c>
      <c r="H36" s="234">
        <f>ROUNDUP(D36/TARIFAS!$L$15,0)</f>
        <v>0</v>
      </c>
    </row>
    <row r="37" spans="2:8" ht="15.75" x14ac:dyDescent="0.25">
      <c r="B37" s="139"/>
      <c r="C37" s="139"/>
      <c r="D37" s="139"/>
      <c r="E37" s="139"/>
      <c r="F37" s="139"/>
      <c r="G37" s="139"/>
    </row>
    <row r="38" spans="2:8" ht="15.75" x14ac:dyDescent="0.25">
      <c r="B38" s="549" t="s">
        <v>252</v>
      </c>
      <c r="C38" s="549"/>
      <c r="D38" s="549"/>
      <c r="E38" s="549"/>
      <c r="F38" s="549"/>
      <c r="G38" s="549"/>
    </row>
    <row r="39" spans="2:8" ht="24" x14ac:dyDescent="0.2">
      <c r="B39" s="231" t="s">
        <v>320</v>
      </c>
      <c r="C39" s="231" t="s">
        <v>315</v>
      </c>
      <c r="D39" s="232" t="s">
        <v>316</v>
      </c>
      <c r="E39" s="232" t="s">
        <v>247</v>
      </c>
      <c r="F39" s="231" t="s">
        <v>248</v>
      </c>
      <c r="G39" s="232" t="s">
        <v>249</v>
      </c>
    </row>
    <row r="40" spans="2:8" x14ac:dyDescent="0.2">
      <c r="B40" s="228" t="s">
        <v>276</v>
      </c>
      <c r="C40" s="229"/>
      <c r="D40" s="229"/>
      <c r="E40" s="230">
        <f t="shared" ref="E40:E45" si="9">C40*D40</f>
        <v>0</v>
      </c>
      <c r="F40" s="230">
        <f t="shared" ref="F40:F45" si="10">E40*$F$7</f>
        <v>0</v>
      </c>
      <c r="G40" s="230">
        <f t="shared" ref="G40:G45" si="11">E40+F40</f>
        <v>0</v>
      </c>
    </row>
    <row r="41" spans="2:8" x14ac:dyDescent="0.2">
      <c r="B41" s="228" t="s">
        <v>277</v>
      </c>
      <c r="C41" s="229"/>
      <c r="D41" s="229"/>
      <c r="E41" s="230">
        <f t="shared" si="9"/>
        <v>0</v>
      </c>
      <c r="F41" s="230">
        <f t="shared" si="10"/>
        <v>0</v>
      </c>
      <c r="G41" s="230">
        <f t="shared" si="11"/>
        <v>0</v>
      </c>
    </row>
    <row r="42" spans="2:8" x14ac:dyDescent="0.2">
      <c r="B42" s="228" t="s">
        <v>278</v>
      </c>
      <c r="C42" s="229"/>
      <c r="D42" s="229"/>
      <c r="E42" s="230">
        <f t="shared" si="9"/>
        <v>0</v>
      </c>
      <c r="F42" s="230">
        <f t="shared" si="10"/>
        <v>0</v>
      </c>
      <c r="G42" s="230">
        <f t="shared" si="11"/>
        <v>0</v>
      </c>
    </row>
    <row r="43" spans="2:8" x14ac:dyDescent="0.2">
      <c r="B43" s="228" t="s">
        <v>279</v>
      </c>
      <c r="C43" s="229"/>
      <c r="D43" s="229"/>
      <c r="E43" s="230">
        <f t="shared" si="9"/>
        <v>0</v>
      </c>
      <c r="F43" s="230">
        <f t="shared" si="10"/>
        <v>0</v>
      </c>
      <c r="G43" s="230">
        <f t="shared" si="11"/>
        <v>0</v>
      </c>
    </row>
    <row r="44" spans="2:8" x14ac:dyDescent="0.2">
      <c r="B44" s="228" t="s">
        <v>284</v>
      </c>
      <c r="C44" s="229"/>
      <c r="D44" s="229"/>
      <c r="E44" s="230">
        <f t="shared" si="9"/>
        <v>0</v>
      </c>
      <c r="F44" s="230">
        <f t="shared" si="10"/>
        <v>0</v>
      </c>
      <c r="G44" s="230">
        <f t="shared" si="11"/>
        <v>0</v>
      </c>
    </row>
    <row r="45" spans="2:8" x14ac:dyDescent="0.2">
      <c r="B45" s="228" t="s">
        <v>340</v>
      </c>
      <c r="C45" s="229"/>
      <c r="D45" s="229"/>
      <c r="E45" s="230">
        <f t="shared" si="9"/>
        <v>0</v>
      </c>
      <c r="F45" s="230">
        <f t="shared" si="10"/>
        <v>0</v>
      </c>
      <c r="G45" s="230">
        <f t="shared" si="11"/>
        <v>0</v>
      </c>
    </row>
    <row r="46" spans="2:8" x14ac:dyDescent="0.2">
      <c r="B46" s="228" t="s">
        <v>341</v>
      </c>
      <c r="C46" s="229"/>
      <c r="D46" s="229"/>
      <c r="E46" s="230">
        <f>C46*D46</f>
        <v>0</v>
      </c>
      <c r="F46" s="230">
        <f>E46*$F$7</f>
        <v>0</v>
      </c>
      <c r="G46" s="230">
        <f>E46+F46</f>
        <v>0</v>
      </c>
    </row>
  </sheetData>
  <sheetProtection insertRows="0" deleteRows="0"/>
  <mergeCells count="9">
    <mergeCell ref="B2:B4"/>
    <mergeCell ref="C2:C4"/>
    <mergeCell ref="D2:G3"/>
    <mergeCell ref="D4:G4"/>
    <mergeCell ref="B38:G38"/>
    <mergeCell ref="B6:G6"/>
    <mergeCell ref="B8:G8"/>
    <mergeCell ref="B18:G18"/>
    <mergeCell ref="B28:G28"/>
  </mergeCells>
  <phoneticPr fontId="14" type="noConversion"/>
  <printOptions horizontalCentered="1"/>
  <pageMargins left="0.31496062992125984" right="0.31496062992125984" top="0.55118110236220474" bottom="0.55118110236220474" header="0.31496062992125984" footer="0.31496062992125984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O32"/>
  <sheetViews>
    <sheetView showGridLines="0" zoomScale="80" zoomScaleNormal="80" workbookViewId="0">
      <pane xSplit="2" ySplit="13" topLeftCell="D14" activePane="bottomRight" state="frozen"/>
      <selection pane="topRight" activeCell="B1" sqref="B1"/>
      <selection pane="bottomLeft" activeCell="A8" sqref="A8"/>
      <selection pane="bottomRight" activeCell="N4" sqref="N4:O4"/>
    </sheetView>
  </sheetViews>
  <sheetFormatPr baseColWidth="10" defaultColWidth="11.42578125" defaultRowHeight="14.25" x14ac:dyDescent="0.2"/>
  <cols>
    <col min="1" max="1" width="3" style="61" customWidth="1"/>
    <col min="2" max="5" width="18.5703125" style="61" customWidth="1"/>
    <col min="6" max="12" width="11.42578125" style="61"/>
    <col min="13" max="13" width="18.5703125" style="61" customWidth="1"/>
    <col min="14" max="14" width="19.7109375" style="61" customWidth="1"/>
    <col min="15" max="15" width="15.5703125" style="61" customWidth="1"/>
    <col min="16" max="16384" width="11.42578125" style="61"/>
  </cols>
  <sheetData>
    <row r="2" spans="2:15" ht="37.5" customHeight="1" x14ac:dyDescent="0.2">
      <c r="B2" s="510" t="e" vm="1">
        <v>#VALUE!</v>
      </c>
      <c r="C2" s="511"/>
      <c r="D2" s="510" t="e" vm="2">
        <v>#VALUE!</v>
      </c>
      <c r="E2" s="511"/>
      <c r="F2" s="531" t="s">
        <v>460</v>
      </c>
      <c r="G2" s="517"/>
      <c r="H2" s="517"/>
      <c r="I2" s="517"/>
      <c r="J2" s="517"/>
      <c r="K2" s="517"/>
      <c r="L2" s="517"/>
      <c r="M2" s="518"/>
      <c r="N2" s="525" t="s">
        <v>459</v>
      </c>
      <c r="O2" s="527"/>
    </row>
    <row r="3" spans="2:15" ht="37.5" customHeight="1" x14ac:dyDescent="0.2">
      <c r="B3" s="512"/>
      <c r="C3" s="513"/>
      <c r="D3" s="512"/>
      <c r="E3" s="513"/>
      <c r="F3" s="522"/>
      <c r="G3" s="523"/>
      <c r="H3" s="523"/>
      <c r="I3" s="523"/>
      <c r="J3" s="523"/>
      <c r="K3" s="523"/>
      <c r="L3" s="523"/>
      <c r="M3" s="524"/>
      <c r="N3" s="551" t="s">
        <v>482</v>
      </c>
      <c r="O3" s="552"/>
    </row>
    <row r="4" spans="2:15" ht="37.5" customHeight="1" x14ac:dyDescent="0.2">
      <c r="B4" s="514"/>
      <c r="C4" s="515"/>
      <c r="D4" s="514"/>
      <c r="E4" s="515"/>
      <c r="F4" s="532" t="s">
        <v>461</v>
      </c>
      <c r="G4" s="533"/>
      <c r="H4" s="533"/>
      <c r="I4" s="533"/>
      <c r="J4" s="533"/>
      <c r="K4" s="533"/>
      <c r="L4" s="533"/>
      <c r="M4" s="534"/>
      <c r="N4" s="553" t="s">
        <v>479</v>
      </c>
      <c r="O4" s="554"/>
    </row>
    <row r="6" spans="2:15" ht="9" customHeight="1" x14ac:dyDescent="0.2">
      <c r="B6" s="520"/>
    </row>
    <row r="7" spans="2:15" ht="15" x14ac:dyDescent="0.2">
      <c r="B7" s="520"/>
      <c r="C7" s="568" t="str">
        <f>CONCATENATE("PLAN DE ADQUISICIÓN, CONSTRUCCIÓN O PRÉSTAMO DE INFRAESTRUCTURA FÍSICA Y TECNOLÓGICA EN EL PROGRAMA DE ", CONSOLIDADO!D6)</f>
        <v xml:space="preserve">PLAN DE ADQUISICIÓN, CONSTRUCCIÓN O PRÉSTAMO DE INFRAESTRUCTURA FÍSICA Y TECNOLÓGICA EN EL PROGRAMA DE </v>
      </c>
      <c r="D7" s="568"/>
      <c r="E7" s="568"/>
      <c r="F7" s="568"/>
      <c r="G7" s="568"/>
      <c r="H7" s="568"/>
      <c r="I7" s="568"/>
      <c r="J7" s="568"/>
      <c r="K7" s="568"/>
      <c r="L7" s="568"/>
      <c r="M7" s="568"/>
      <c r="N7" s="568"/>
      <c r="O7" s="568"/>
    </row>
    <row r="8" spans="2:15" ht="18" customHeight="1" x14ac:dyDescent="0.2">
      <c r="B8" s="520"/>
      <c r="C8" s="569" t="str">
        <f>CONCATENATE("Años ",F13," - ",L13)</f>
        <v>Años 2027 - 2033</v>
      </c>
      <c r="D8" s="569"/>
      <c r="E8" s="569"/>
      <c r="F8" s="569"/>
      <c r="G8" s="569"/>
      <c r="H8" s="569"/>
      <c r="I8" s="569"/>
      <c r="J8" s="569"/>
      <c r="K8" s="569"/>
      <c r="L8" s="569"/>
      <c r="M8" s="569"/>
      <c r="N8" s="569"/>
      <c r="O8" s="569"/>
    </row>
    <row r="9" spans="2:15" ht="18" customHeight="1" x14ac:dyDescent="0.2"/>
    <row r="10" spans="2:15" x14ac:dyDescent="0.2">
      <c r="B10" s="33" t="s">
        <v>393</v>
      </c>
      <c r="C10" s="303"/>
    </row>
    <row r="11" spans="2:15" ht="9" customHeight="1" x14ac:dyDescent="0.2"/>
    <row r="12" spans="2:15" ht="18.75" customHeight="1" x14ac:dyDescent="0.2">
      <c r="B12" s="570" t="s">
        <v>400</v>
      </c>
      <c r="C12" s="565" t="s">
        <v>394</v>
      </c>
      <c r="D12" s="565" t="s">
        <v>395</v>
      </c>
      <c r="E12" s="565" t="s">
        <v>396</v>
      </c>
      <c r="F12" s="326" t="s">
        <v>409</v>
      </c>
      <c r="G12" s="327"/>
      <c r="H12" s="327"/>
      <c r="I12" s="327"/>
      <c r="J12" s="327"/>
      <c r="K12" s="327"/>
      <c r="L12" s="328"/>
      <c r="M12" s="565" t="s">
        <v>397</v>
      </c>
      <c r="N12" s="563" t="s">
        <v>408</v>
      </c>
      <c r="O12" s="565" t="s">
        <v>398</v>
      </c>
    </row>
    <row r="13" spans="2:15" ht="17.25" customHeight="1" x14ac:dyDescent="0.2">
      <c r="B13" s="570"/>
      <c r="C13" s="566"/>
      <c r="D13" s="566"/>
      <c r="E13" s="566"/>
      <c r="F13" s="98">
        <f>CONSOLIDADO!F11</f>
        <v>2027</v>
      </c>
      <c r="G13" s="98">
        <f>CONSOLIDADO!G11</f>
        <v>2028</v>
      </c>
      <c r="H13" s="98">
        <f>CONSOLIDADO!H11</f>
        <v>2029</v>
      </c>
      <c r="I13" s="98">
        <f>CONSOLIDADO!I11</f>
        <v>2030</v>
      </c>
      <c r="J13" s="98">
        <f>CONSOLIDADO!J11</f>
        <v>2031</v>
      </c>
      <c r="K13" s="98">
        <f>CONSOLIDADO!K11</f>
        <v>2032</v>
      </c>
      <c r="L13" s="98">
        <f>CONSOLIDADO!L11</f>
        <v>2033</v>
      </c>
      <c r="M13" s="566"/>
      <c r="N13" s="564"/>
      <c r="O13" s="566"/>
    </row>
    <row r="14" spans="2:15" ht="18" customHeight="1" x14ac:dyDescent="0.2">
      <c r="B14" s="567" t="s">
        <v>401</v>
      </c>
      <c r="C14" s="30"/>
      <c r="D14" s="30"/>
      <c r="E14" s="30"/>
      <c r="F14" s="32"/>
      <c r="G14" s="32"/>
      <c r="H14" s="32"/>
      <c r="I14" s="32"/>
      <c r="J14" s="32"/>
      <c r="K14" s="32"/>
      <c r="L14" s="32"/>
      <c r="M14" s="30"/>
      <c r="N14" s="30"/>
      <c r="O14" s="30"/>
    </row>
    <row r="15" spans="2:15" ht="18" customHeight="1" x14ac:dyDescent="0.2">
      <c r="B15" s="567"/>
      <c r="C15" s="30"/>
      <c r="D15" s="30"/>
      <c r="E15" s="30"/>
      <c r="F15" s="32"/>
      <c r="G15" s="32"/>
      <c r="H15" s="32"/>
      <c r="I15" s="32"/>
      <c r="J15" s="32"/>
      <c r="K15" s="32"/>
      <c r="L15" s="32"/>
      <c r="M15" s="30"/>
      <c r="N15" s="30"/>
      <c r="O15" s="30"/>
    </row>
    <row r="16" spans="2:15" ht="18" customHeight="1" x14ac:dyDescent="0.2">
      <c r="B16" s="567" t="s">
        <v>402</v>
      </c>
      <c r="C16" s="30"/>
      <c r="D16" s="30"/>
      <c r="E16" s="30"/>
      <c r="F16" s="32"/>
      <c r="G16" s="32"/>
      <c r="H16" s="32"/>
      <c r="I16" s="32"/>
      <c r="J16" s="32"/>
      <c r="K16" s="32"/>
      <c r="L16" s="32"/>
      <c r="M16" s="30"/>
      <c r="N16" s="30"/>
      <c r="O16" s="30"/>
    </row>
    <row r="17" spans="2:15" ht="18" customHeight="1" x14ac:dyDescent="0.2">
      <c r="B17" s="567"/>
      <c r="C17" s="30"/>
      <c r="D17" s="30"/>
      <c r="E17" s="30"/>
      <c r="F17" s="32"/>
      <c r="G17" s="32"/>
      <c r="H17" s="32"/>
      <c r="I17" s="32"/>
      <c r="J17" s="32"/>
      <c r="K17" s="32"/>
      <c r="L17" s="32"/>
      <c r="M17" s="30"/>
      <c r="N17" s="30"/>
      <c r="O17" s="30"/>
    </row>
    <row r="18" spans="2:15" ht="18" customHeight="1" x14ac:dyDescent="0.2">
      <c r="B18" s="567" t="s">
        <v>403</v>
      </c>
      <c r="C18" s="30"/>
      <c r="D18" s="30"/>
      <c r="E18" s="30"/>
      <c r="F18" s="32"/>
      <c r="G18" s="32"/>
      <c r="H18" s="32"/>
      <c r="I18" s="32"/>
      <c r="J18" s="32"/>
      <c r="K18" s="32"/>
      <c r="L18" s="32"/>
      <c r="M18" s="30"/>
      <c r="N18" s="30"/>
      <c r="O18" s="30"/>
    </row>
    <row r="19" spans="2:15" ht="18" customHeight="1" x14ac:dyDescent="0.2">
      <c r="B19" s="567"/>
      <c r="C19" s="30"/>
      <c r="D19" s="30"/>
      <c r="E19" s="30"/>
      <c r="F19" s="32"/>
      <c r="G19" s="32"/>
      <c r="H19" s="32"/>
      <c r="I19" s="32"/>
      <c r="J19" s="32"/>
      <c r="K19" s="32"/>
      <c r="L19" s="32"/>
      <c r="M19" s="30"/>
      <c r="N19" s="30"/>
      <c r="O19" s="30"/>
    </row>
    <row r="20" spans="2:15" ht="18" customHeight="1" x14ac:dyDescent="0.2">
      <c r="B20" s="561" t="s">
        <v>404</v>
      </c>
      <c r="C20" s="30"/>
      <c r="D20" s="30"/>
      <c r="E20" s="30"/>
      <c r="F20" s="32"/>
      <c r="G20" s="32"/>
      <c r="H20" s="32"/>
      <c r="I20" s="32"/>
      <c r="J20" s="32"/>
      <c r="K20" s="32"/>
      <c r="L20" s="32"/>
      <c r="M20" s="30"/>
      <c r="N20" s="30"/>
      <c r="O20" s="30"/>
    </row>
    <row r="21" spans="2:15" ht="18" customHeight="1" x14ac:dyDescent="0.2">
      <c r="B21" s="562"/>
      <c r="C21" s="30"/>
      <c r="D21" s="30"/>
      <c r="E21" s="30"/>
      <c r="F21" s="32"/>
      <c r="G21" s="32"/>
      <c r="H21" s="32"/>
      <c r="I21" s="32"/>
      <c r="J21" s="32"/>
      <c r="K21" s="32"/>
      <c r="L21" s="32"/>
      <c r="M21" s="30"/>
      <c r="N21" s="30"/>
      <c r="O21" s="30"/>
    </row>
    <row r="22" spans="2:15" ht="18" customHeight="1" x14ac:dyDescent="0.2">
      <c r="B22" s="567" t="s">
        <v>405</v>
      </c>
      <c r="C22" s="30"/>
      <c r="D22" s="30"/>
      <c r="E22" s="30"/>
      <c r="F22" s="32"/>
      <c r="G22" s="32"/>
      <c r="H22" s="32"/>
      <c r="I22" s="32"/>
      <c r="J22" s="32"/>
      <c r="K22" s="32"/>
      <c r="L22" s="32"/>
      <c r="M22" s="30"/>
      <c r="N22" s="30"/>
      <c r="O22" s="30"/>
    </row>
    <row r="23" spans="2:15" ht="18" customHeight="1" x14ac:dyDescent="0.2">
      <c r="B23" s="567"/>
      <c r="C23" s="30"/>
      <c r="D23" s="30"/>
      <c r="E23" s="30"/>
      <c r="F23" s="32"/>
      <c r="G23" s="32"/>
      <c r="H23" s="32"/>
      <c r="I23" s="32"/>
      <c r="J23" s="32"/>
      <c r="K23" s="32"/>
      <c r="L23" s="32"/>
      <c r="M23" s="30"/>
      <c r="N23" s="30"/>
      <c r="O23" s="30"/>
    </row>
    <row r="24" spans="2:15" ht="18" customHeight="1" x14ac:dyDescent="0.2">
      <c r="B24" s="567" t="s">
        <v>406</v>
      </c>
      <c r="C24" s="30"/>
      <c r="D24" s="30"/>
      <c r="E24" s="30"/>
      <c r="F24" s="32"/>
      <c r="G24" s="32"/>
      <c r="H24" s="32"/>
      <c r="I24" s="32"/>
      <c r="J24" s="32"/>
      <c r="K24" s="32"/>
      <c r="L24" s="32"/>
      <c r="M24" s="30"/>
      <c r="N24" s="30"/>
      <c r="O24" s="30"/>
    </row>
    <row r="25" spans="2:15" ht="18" customHeight="1" x14ac:dyDescent="0.2">
      <c r="B25" s="567"/>
      <c r="C25" s="30"/>
      <c r="D25" s="30"/>
      <c r="E25" s="30"/>
      <c r="F25" s="32"/>
      <c r="G25" s="32"/>
      <c r="H25" s="32"/>
      <c r="I25" s="32"/>
      <c r="J25" s="32"/>
      <c r="K25" s="32"/>
      <c r="L25" s="32"/>
      <c r="M25" s="30"/>
      <c r="N25" s="30"/>
      <c r="O25" s="30"/>
    </row>
    <row r="26" spans="2:15" ht="18" customHeight="1" x14ac:dyDescent="0.2">
      <c r="B26" s="567" t="s">
        <v>407</v>
      </c>
      <c r="C26" s="30"/>
      <c r="D26" s="30"/>
      <c r="E26" s="30"/>
      <c r="F26" s="32"/>
      <c r="G26" s="32"/>
      <c r="H26" s="32"/>
      <c r="I26" s="32"/>
      <c r="J26" s="32"/>
      <c r="K26" s="32"/>
      <c r="L26" s="32"/>
      <c r="M26" s="30"/>
      <c r="N26" s="30"/>
      <c r="O26" s="30"/>
    </row>
    <row r="27" spans="2:15" ht="18" customHeight="1" x14ac:dyDescent="0.2">
      <c r="B27" s="567"/>
      <c r="C27" s="30"/>
      <c r="D27" s="30"/>
      <c r="E27" s="30"/>
      <c r="F27" s="32"/>
      <c r="G27" s="32"/>
      <c r="H27" s="32"/>
      <c r="I27" s="32"/>
      <c r="J27" s="32"/>
      <c r="K27" s="32"/>
      <c r="L27" s="32"/>
      <c r="M27" s="30"/>
      <c r="N27" s="30"/>
      <c r="O27" s="30"/>
    </row>
    <row r="28" spans="2:15" ht="18" customHeight="1" x14ac:dyDescent="0.2">
      <c r="B28" s="34"/>
      <c r="C28" s="30"/>
      <c r="D28" s="30"/>
      <c r="E28" s="30"/>
      <c r="F28" s="32"/>
      <c r="G28" s="32"/>
      <c r="H28" s="32"/>
      <c r="I28" s="32"/>
      <c r="J28" s="32"/>
      <c r="K28" s="32"/>
      <c r="L28" s="32"/>
      <c r="M28" s="30"/>
      <c r="N28" s="30"/>
      <c r="O28" s="30"/>
    </row>
    <row r="29" spans="2:15" ht="32.25" customHeight="1" x14ac:dyDescent="0.2">
      <c r="B29" s="558" t="s">
        <v>399</v>
      </c>
      <c r="C29" s="559"/>
      <c r="D29" s="559"/>
      <c r="E29" s="560"/>
      <c r="F29" s="98">
        <f>SUM(F14:F28)</f>
        <v>0</v>
      </c>
      <c r="G29" s="98">
        <f t="shared" ref="G29:L29" si="0">SUM(G14:G28)</f>
        <v>0</v>
      </c>
      <c r="H29" s="98">
        <f t="shared" si="0"/>
        <v>0</v>
      </c>
      <c r="I29" s="98">
        <f t="shared" si="0"/>
        <v>0</v>
      </c>
      <c r="J29" s="98">
        <f t="shared" si="0"/>
        <v>0</v>
      </c>
      <c r="K29" s="98">
        <f t="shared" si="0"/>
        <v>0</v>
      </c>
      <c r="L29" s="98">
        <f t="shared" si="0"/>
        <v>0</v>
      </c>
      <c r="M29" s="555"/>
      <c r="N29" s="556"/>
      <c r="O29" s="557"/>
    </row>
    <row r="32" spans="2:15" x14ac:dyDescent="0.2">
      <c r="D32" s="31"/>
    </row>
  </sheetData>
  <mergeCells count="27">
    <mergeCell ref="C7:O7"/>
    <mergeCell ref="C8:O8"/>
    <mergeCell ref="B6:B8"/>
    <mergeCell ref="F12:L12"/>
    <mergeCell ref="B12:B13"/>
    <mergeCell ref="D12:D13"/>
    <mergeCell ref="E12:E13"/>
    <mergeCell ref="M12:M13"/>
    <mergeCell ref="M29:O29"/>
    <mergeCell ref="B29:E29"/>
    <mergeCell ref="B20:B21"/>
    <mergeCell ref="N12:N13"/>
    <mergeCell ref="O12:O13"/>
    <mergeCell ref="C12:C13"/>
    <mergeCell ref="B14:B15"/>
    <mergeCell ref="B16:B17"/>
    <mergeCell ref="B18:B19"/>
    <mergeCell ref="B22:B23"/>
    <mergeCell ref="B24:B25"/>
    <mergeCell ref="B26:B27"/>
    <mergeCell ref="B2:C4"/>
    <mergeCell ref="D2:E4"/>
    <mergeCell ref="F2:M3"/>
    <mergeCell ref="F4:M4"/>
    <mergeCell ref="N2:O2"/>
    <mergeCell ref="N3:O3"/>
    <mergeCell ref="N4:O4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O23"/>
  <sheetViews>
    <sheetView showGridLines="0" zoomScale="80" zoomScaleNormal="80" workbookViewId="0">
      <selection activeCell="N4" sqref="N4:O4"/>
    </sheetView>
  </sheetViews>
  <sheetFormatPr baseColWidth="10" defaultRowHeight="15" x14ac:dyDescent="0.25"/>
  <cols>
    <col min="1" max="1" width="3" customWidth="1"/>
    <col min="2" max="5" width="19.5703125" customWidth="1"/>
    <col min="13" max="13" width="15.42578125" customWidth="1"/>
    <col min="14" max="14" width="19.7109375" customWidth="1"/>
  </cols>
  <sheetData>
    <row r="2" spans="2:15" ht="33.75" customHeight="1" x14ac:dyDescent="0.25">
      <c r="B2" s="510" t="e" vm="1">
        <v>#VALUE!</v>
      </c>
      <c r="C2" s="511"/>
      <c r="D2" s="510" t="e" vm="2">
        <v>#VALUE!</v>
      </c>
      <c r="E2" s="511"/>
      <c r="F2" s="531" t="s">
        <v>460</v>
      </c>
      <c r="G2" s="517"/>
      <c r="H2" s="517"/>
      <c r="I2" s="517"/>
      <c r="J2" s="517"/>
      <c r="K2" s="517"/>
      <c r="L2" s="517"/>
      <c r="M2" s="518"/>
      <c r="N2" s="525" t="s">
        <v>459</v>
      </c>
      <c r="O2" s="527"/>
    </row>
    <row r="3" spans="2:15" ht="33.75" customHeight="1" x14ac:dyDescent="0.25">
      <c r="B3" s="512"/>
      <c r="C3" s="513"/>
      <c r="D3" s="512"/>
      <c r="E3" s="513"/>
      <c r="F3" s="522"/>
      <c r="G3" s="523"/>
      <c r="H3" s="523"/>
      <c r="I3" s="523"/>
      <c r="J3" s="523"/>
      <c r="K3" s="523"/>
      <c r="L3" s="523"/>
      <c r="M3" s="524"/>
      <c r="N3" s="551" t="s">
        <v>482</v>
      </c>
      <c r="O3" s="552"/>
    </row>
    <row r="4" spans="2:15" ht="33.75" customHeight="1" x14ac:dyDescent="0.25">
      <c r="B4" s="514"/>
      <c r="C4" s="515"/>
      <c r="D4" s="514"/>
      <c r="E4" s="515"/>
      <c r="F4" s="532" t="s">
        <v>461</v>
      </c>
      <c r="G4" s="533"/>
      <c r="H4" s="533"/>
      <c r="I4" s="533"/>
      <c r="J4" s="533"/>
      <c r="K4" s="533"/>
      <c r="L4" s="533"/>
      <c r="M4" s="534"/>
      <c r="N4" s="553" t="s">
        <v>464</v>
      </c>
      <c r="O4" s="554"/>
    </row>
    <row r="6" spans="2:15" x14ac:dyDescent="0.25">
      <c r="B6" s="573"/>
    </row>
    <row r="7" spans="2:15" ht="30.75" customHeight="1" x14ac:dyDescent="0.25">
      <c r="B7" s="573"/>
      <c r="C7" s="571" t="str">
        <f>CONCATENATE("PLAN DE ADQUISICIÓN, CONSTRUCCIÓN O PRÉSTAMO DE MEDIOS EDUCATIVOS EN EL PROGRAMA DE ", CONSOLIDADO!D6)</f>
        <v xml:space="preserve">PLAN DE ADQUISICIÓN, CONSTRUCCIÓN O PRÉSTAMO DE MEDIOS EDUCATIVOS EN EL PROGRAMA DE </v>
      </c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</row>
    <row r="8" spans="2:15" ht="15" customHeight="1" x14ac:dyDescent="0.25">
      <c r="B8" s="573"/>
      <c r="C8" s="572" t="str">
        <f>CONCATENATE("Años ",F13," - ",L13)</f>
        <v>Años 2027 - 2033</v>
      </c>
      <c r="D8" s="572"/>
      <c r="E8" s="572"/>
      <c r="F8" s="572"/>
      <c r="G8" s="572"/>
      <c r="H8" s="572"/>
      <c r="I8" s="572"/>
      <c r="J8" s="572"/>
      <c r="K8" s="572"/>
      <c r="L8" s="572"/>
      <c r="M8" s="572"/>
      <c r="N8" s="572"/>
      <c r="O8" s="572"/>
    </row>
    <row r="9" spans="2:15" ht="15" customHeight="1" x14ac:dyDescent="0.25"/>
    <row r="10" spans="2:15" x14ac:dyDescent="0.25">
      <c r="B10" s="33" t="s">
        <v>393</v>
      </c>
      <c r="C10" s="36">
        <f>'Adquisición Infraestructura'!C10</f>
        <v>0</v>
      </c>
    </row>
    <row r="11" spans="2:15" ht="9" customHeight="1" x14ac:dyDescent="0.25"/>
    <row r="12" spans="2:15" ht="18.75" customHeight="1" x14ac:dyDescent="0.25">
      <c r="B12" s="565" t="s">
        <v>400</v>
      </c>
      <c r="C12" s="565" t="s">
        <v>394</v>
      </c>
      <c r="D12" s="565" t="s">
        <v>395</v>
      </c>
      <c r="E12" s="565" t="s">
        <v>396</v>
      </c>
      <c r="F12" s="326" t="s">
        <v>409</v>
      </c>
      <c r="G12" s="327"/>
      <c r="H12" s="327"/>
      <c r="I12" s="327"/>
      <c r="J12" s="327"/>
      <c r="K12" s="327"/>
      <c r="L12" s="328"/>
      <c r="M12" s="565" t="s">
        <v>397</v>
      </c>
      <c r="N12" s="563" t="s">
        <v>408</v>
      </c>
      <c r="O12" s="565" t="s">
        <v>398</v>
      </c>
    </row>
    <row r="13" spans="2:15" ht="18.75" customHeight="1" x14ac:dyDescent="0.25">
      <c r="B13" s="566"/>
      <c r="C13" s="566"/>
      <c r="D13" s="566"/>
      <c r="E13" s="566"/>
      <c r="F13" s="98">
        <f>CONSOLIDADO!F11</f>
        <v>2027</v>
      </c>
      <c r="G13" s="98">
        <f>CONSOLIDADO!G11</f>
        <v>2028</v>
      </c>
      <c r="H13" s="98">
        <f>CONSOLIDADO!H11</f>
        <v>2029</v>
      </c>
      <c r="I13" s="98">
        <f>CONSOLIDADO!I11</f>
        <v>2030</v>
      </c>
      <c r="J13" s="98">
        <f>CONSOLIDADO!J11</f>
        <v>2031</v>
      </c>
      <c r="K13" s="98">
        <f>CONSOLIDADO!K11</f>
        <v>2032</v>
      </c>
      <c r="L13" s="98">
        <f>CONSOLIDADO!L11</f>
        <v>2033</v>
      </c>
      <c r="M13" s="566"/>
      <c r="N13" s="564"/>
      <c r="O13" s="566"/>
    </row>
    <row r="14" spans="2:15" ht="18.75" customHeight="1" x14ac:dyDescent="0.25">
      <c r="B14" s="567" t="s">
        <v>411</v>
      </c>
      <c r="C14" s="30"/>
      <c r="D14" s="30"/>
      <c r="E14" s="30"/>
      <c r="F14" s="32"/>
      <c r="G14" s="32"/>
      <c r="H14" s="32"/>
      <c r="I14" s="32"/>
      <c r="J14" s="32"/>
      <c r="K14" s="32"/>
      <c r="L14" s="32"/>
      <c r="M14" s="30"/>
      <c r="N14" s="30"/>
      <c r="O14" s="30"/>
    </row>
    <row r="15" spans="2:15" ht="18.75" customHeight="1" x14ac:dyDescent="0.25">
      <c r="B15" s="567"/>
      <c r="C15" s="30"/>
      <c r="D15" s="30"/>
      <c r="E15" s="30"/>
      <c r="F15" s="32"/>
      <c r="G15" s="32"/>
      <c r="H15" s="32"/>
      <c r="I15" s="32"/>
      <c r="J15" s="32"/>
      <c r="K15" s="32"/>
      <c r="L15" s="32"/>
      <c r="M15" s="30"/>
      <c r="N15" s="30"/>
      <c r="O15" s="30"/>
    </row>
    <row r="16" spans="2:15" ht="18.75" customHeight="1" x14ac:dyDescent="0.25">
      <c r="B16" s="567" t="s">
        <v>406</v>
      </c>
      <c r="C16" s="30"/>
      <c r="D16" s="30"/>
      <c r="E16" s="30"/>
      <c r="F16" s="32"/>
      <c r="G16" s="32"/>
      <c r="H16" s="32"/>
      <c r="I16" s="32"/>
      <c r="J16" s="32"/>
      <c r="K16" s="32"/>
      <c r="L16" s="32"/>
      <c r="M16" s="30"/>
      <c r="N16" s="30"/>
      <c r="O16" s="30"/>
    </row>
    <row r="17" spans="2:15" ht="18.75" customHeight="1" x14ac:dyDescent="0.25">
      <c r="B17" s="567"/>
      <c r="C17" s="30"/>
      <c r="D17" s="30"/>
      <c r="E17" s="30"/>
      <c r="F17" s="32"/>
      <c r="G17" s="32"/>
      <c r="H17" s="32"/>
      <c r="I17" s="32"/>
      <c r="J17" s="32"/>
      <c r="K17" s="32"/>
      <c r="L17" s="32"/>
      <c r="M17" s="30"/>
      <c r="N17" s="30"/>
      <c r="O17" s="30"/>
    </row>
    <row r="18" spans="2:15" ht="18.75" customHeight="1" x14ac:dyDescent="0.25">
      <c r="B18" s="567" t="s">
        <v>412</v>
      </c>
      <c r="C18" s="30"/>
      <c r="D18" s="30"/>
      <c r="E18" s="30"/>
      <c r="F18" s="32"/>
      <c r="G18" s="32"/>
      <c r="H18" s="32"/>
      <c r="I18" s="32"/>
      <c r="J18" s="32"/>
      <c r="K18" s="32"/>
      <c r="L18" s="32"/>
      <c r="M18" s="30"/>
      <c r="N18" s="30"/>
      <c r="O18" s="30"/>
    </row>
    <row r="19" spans="2:15" ht="18.75" customHeight="1" x14ac:dyDescent="0.25">
      <c r="B19" s="567"/>
      <c r="C19" s="30"/>
      <c r="D19" s="30"/>
      <c r="E19" s="30"/>
      <c r="F19" s="32"/>
      <c r="G19" s="32"/>
      <c r="H19" s="32"/>
      <c r="I19" s="32"/>
      <c r="J19" s="32"/>
      <c r="K19" s="32"/>
      <c r="L19" s="32"/>
      <c r="M19" s="30"/>
      <c r="N19" s="30"/>
      <c r="O19" s="30"/>
    </row>
    <row r="20" spans="2:15" ht="18.75" customHeight="1" x14ac:dyDescent="0.25">
      <c r="B20" s="567" t="s">
        <v>407</v>
      </c>
      <c r="C20" s="30"/>
      <c r="D20" s="30"/>
      <c r="E20" s="30"/>
      <c r="F20" s="32"/>
      <c r="G20" s="32"/>
      <c r="H20" s="32"/>
      <c r="I20" s="32"/>
      <c r="J20" s="32"/>
      <c r="K20" s="32"/>
      <c r="L20" s="32"/>
      <c r="M20" s="30"/>
      <c r="N20" s="30"/>
      <c r="O20" s="30"/>
    </row>
    <row r="21" spans="2:15" ht="18.75" customHeight="1" x14ac:dyDescent="0.25">
      <c r="B21" s="567"/>
      <c r="C21" s="30"/>
      <c r="D21" s="30"/>
      <c r="E21" s="30"/>
      <c r="F21" s="32"/>
      <c r="G21" s="32"/>
      <c r="H21" s="32"/>
      <c r="I21" s="32"/>
      <c r="J21" s="32"/>
      <c r="K21" s="32"/>
      <c r="L21" s="32"/>
      <c r="M21" s="30"/>
      <c r="N21" s="30"/>
      <c r="O21" s="30"/>
    </row>
    <row r="22" spans="2:15" ht="18.75" customHeight="1" x14ac:dyDescent="0.25">
      <c r="B22" s="35"/>
      <c r="C22" s="30"/>
      <c r="D22" s="30"/>
      <c r="E22" s="30"/>
      <c r="F22" s="32"/>
      <c r="G22" s="32"/>
      <c r="H22" s="32"/>
      <c r="I22" s="32"/>
      <c r="J22" s="32"/>
      <c r="K22" s="32"/>
      <c r="L22" s="32"/>
      <c r="M22" s="30"/>
      <c r="N22" s="30"/>
      <c r="O22" s="30"/>
    </row>
    <row r="23" spans="2:15" ht="25.5" customHeight="1" x14ac:dyDescent="0.25">
      <c r="B23" s="558" t="s">
        <v>410</v>
      </c>
      <c r="C23" s="559"/>
      <c r="D23" s="559"/>
      <c r="E23" s="560"/>
      <c r="F23" s="98">
        <f t="shared" ref="F23:L23" si="0">SUM(F14:F22)</f>
        <v>0</v>
      </c>
      <c r="G23" s="98">
        <f t="shared" si="0"/>
        <v>0</v>
      </c>
      <c r="H23" s="98">
        <f t="shared" si="0"/>
        <v>0</v>
      </c>
      <c r="I23" s="98">
        <f t="shared" si="0"/>
        <v>0</v>
      </c>
      <c r="J23" s="98">
        <f t="shared" si="0"/>
        <v>0</v>
      </c>
      <c r="K23" s="98">
        <f t="shared" si="0"/>
        <v>0</v>
      </c>
      <c r="L23" s="98">
        <f t="shared" si="0"/>
        <v>0</v>
      </c>
      <c r="M23" s="555"/>
      <c r="N23" s="556"/>
      <c r="O23" s="557"/>
    </row>
  </sheetData>
  <mergeCells count="24">
    <mergeCell ref="M23:O23"/>
    <mergeCell ref="B23:E23"/>
    <mergeCell ref="B12:B13"/>
    <mergeCell ref="C12:C13"/>
    <mergeCell ref="D12:D13"/>
    <mergeCell ref="E12:E13"/>
    <mergeCell ref="F12:L12"/>
    <mergeCell ref="M12:M13"/>
    <mergeCell ref="N12:N13"/>
    <mergeCell ref="O12:O13"/>
    <mergeCell ref="B18:B19"/>
    <mergeCell ref="B20:B21"/>
    <mergeCell ref="C7:O7"/>
    <mergeCell ref="C8:O8"/>
    <mergeCell ref="B6:B8"/>
    <mergeCell ref="B14:B15"/>
    <mergeCell ref="B16:B17"/>
    <mergeCell ref="B2:C4"/>
    <mergeCell ref="D2:E4"/>
    <mergeCell ref="F2:M3"/>
    <mergeCell ref="N2:O2"/>
    <mergeCell ref="N3:O3"/>
    <mergeCell ref="F4:M4"/>
    <mergeCell ref="N4:O4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29"/>
  <sheetViews>
    <sheetView showGridLines="0" zoomScale="90" zoomScaleNormal="90" workbookViewId="0">
      <selection activeCell="E25" sqref="E25"/>
    </sheetView>
  </sheetViews>
  <sheetFormatPr baseColWidth="10" defaultColWidth="11.42578125" defaultRowHeight="15" outlineLevelCol="1" x14ac:dyDescent="0.2"/>
  <cols>
    <col min="1" max="1" width="2.5703125" style="235" customWidth="1"/>
    <col min="2" max="2" width="50.85546875" style="235" customWidth="1"/>
    <col min="3" max="3" width="22" style="235" customWidth="1"/>
    <col min="4" max="4" width="7.42578125" style="235" customWidth="1"/>
    <col min="5" max="5" width="22.85546875" style="235" customWidth="1"/>
    <col min="6" max="6" width="6.5703125" style="235" customWidth="1"/>
    <col min="7" max="7" width="7.5703125" style="235" hidden="1" customWidth="1" outlineLevel="1"/>
    <col min="8" max="9" width="9.140625" style="235" hidden="1" customWidth="1" outlineLevel="1"/>
    <col min="10" max="10" width="6.7109375" style="235" hidden="1" customWidth="1" outlineLevel="1"/>
    <col min="11" max="11" width="7.5703125" style="235" hidden="1" customWidth="1" outlineLevel="1"/>
    <col min="12" max="13" width="9.140625" style="235" hidden="1" customWidth="1" outlineLevel="1"/>
    <col min="14" max="14" width="4.85546875" style="235" hidden="1" customWidth="1" outlineLevel="1"/>
    <col min="15" max="15" width="13.28515625" style="235" hidden="1" customWidth="1" outlineLevel="1"/>
    <col min="16" max="16" width="4.140625" style="235" customWidth="1" collapsed="1"/>
    <col min="17" max="19" width="11.42578125" style="235"/>
    <col min="20" max="20" width="19.140625" style="235" bestFit="1" customWidth="1"/>
    <col min="21" max="16384" width="11.42578125" style="235"/>
  </cols>
  <sheetData>
    <row r="1" spans="2:20" ht="12" customHeight="1" x14ac:dyDescent="0.2"/>
    <row r="2" spans="2:20" ht="15.75" x14ac:dyDescent="0.25">
      <c r="B2" s="574" t="s">
        <v>419</v>
      </c>
      <c r="C2" s="574"/>
    </row>
    <row r="3" spans="2:20" ht="14.25" customHeight="1" x14ac:dyDescent="0.2">
      <c r="B3" s="236"/>
      <c r="C3" s="236"/>
    </row>
    <row r="4" spans="2:20" ht="47.25" x14ac:dyDescent="0.2">
      <c r="B4" s="244" t="s">
        <v>266</v>
      </c>
      <c r="C4" s="244" t="s">
        <v>453</v>
      </c>
      <c r="E4" s="244" t="s">
        <v>454</v>
      </c>
    </row>
    <row r="5" spans="2:20" x14ac:dyDescent="0.2">
      <c r="B5" s="245" t="s">
        <v>267</v>
      </c>
      <c r="C5" s="246">
        <v>51779</v>
      </c>
      <c r="E5" s="247">
        <f>C5*(1.52)</f>
        <v>78704.08</v>
      </c>
      <c r="T5" s="237"/>
    </row>
    <row r="6" spans="2:20" x14ac:dyDescent="0.2">
      <c r="B6" s="245" t="s">
        <v>268</v>
      </c>
      <c r="C6" s="246">
        <v>36056</v>
      </c>
      <c r="E6" s="247">
        <f>C6*(1.52)</f>
        <v>54805.120000000003</v>
      </c>
      <c r="T6" s="237"/>
    </row>
    <row r="7" spans="2:20" x14ac:dyDescent="0.2">
      <c r="B7" s="245" t="s">
        <v>269</v>
      </c>
      <c r="C7" s="246">
        <v>47285</v>
      </c>
      <c r="E7" s="247">
        <f>C7*(1.52)</f>
        <v>71873.2</v>
      </c>
      <c r="T7" s="237"/>
    </row>
    <row r="8" spans="2:20" x14ac:dyDescent="0.2">
      <c r="B8" s="245" t="s">
        <v>270</v>
      </c>
      <c r="C8" s="246">
        <v>37859</v>
      </c>
      <c r="E8" s="247">
        <f>C8*(1.52)</f>
        <v>57545.68</v>
      </c>
      <c r="T8" s="237"/>
    </row>
    <row r="9" spans="2:20" ht="14.25" customHeight="1" x14ac:dyDescent="0.2">
      <c r="B9" s="236"/>
      <c r="C9" s="236"/>
      <c r="E9" s="248"/>
    </row>
    <row r="10" spans="2:20" ht="14.25" customHeight="1" x14ac:dyDescent="0.2">
      <c r="B10" s="236"/>
      <c r="C10" s="236"/>
      <c r="K10" s="238">
        <v>46</v>
      </c>
      <c r="L10" s="235" t="s">
        <v>317</v>
      </c>
    </row>
    <row r="11" spans="2:20" ht="26.25" customHeight="1" x14ac:dyDescent="0.2">
      <c r="B11" s="577" t="s">
        <v>271</v>
      </c>
      <c r="C11" s="577"/>
      <c r="E11" s="576" t="s">
        <v>453</v>
      </c>
      <c r="G11" s="575" t="s">
        <v>318</v>
      </c>
      <c r="H11" s="575"/>
      <c r="I11" s="575"/>
      <c r="J11" s="239"/>
      <c r="K11" s="575" t="s">
        <v>319</v>
      </c>
      <c r="L11" s="575"/>
      <c r="M11" s="575"/>
      <c r="O11" s="575" t="s">
        <v>321</v>
      </c>
    </row>
    <row r="12" spans="2:20" ht="40.5" customHeight="1" x14ac:dyDescent="0.2">
      <c r="B12" s="577"/>
      <c r="C12" s="577"/>
      <c r="E12" s="576"/>
      <c r="G12" s="239" t="s">
        <v>141</v>
      </c>
      <c r="H12" s="239" t="s">
        <v>322</v>
      </c>
      <c r="I12" s="239" t="s">
        <v>323</v>
      </c>
      <c r="J12" s="239"/>
      <c r="K12" s="239" t="s">
        <v>141</v>
      </c>
      <c r="L12" s="239" t="s">
        <v>322</v>
      </c>
      <c r="M12" s="239" t="s">
        <v>323</v>
      </c>
      <c r="O12" s="575"/>
    </row>
    <row r="13" spans="2:20" x14ac:dyDescent="0.2">
      <c r="B13" s="245" t="s">
        <v>272</v>
      </c>
      <c r="C13" s="246">
        <v>5882733</v>
      </c>
      <c r="E13" s="249">
        <f>C13*11/M13</f>
        <v>87921.28125</v>
      </c>
      <c r="G13" s="240">
        <v>40</v>
      </c>
      <c r="H13" s="240">
        <v>21</v>
      </c>
      <c r="I13" s="240">
        <v>16</v>
      </c>
      <c r="J13" s="240"/>
      <c r="K13" s="240">
        <f t="shared" ref="K13:M16" si="0">+G13*$K$10</f>
        <v>1840</v>
      </c>
      <c r="L13" s="240">
        <f t="shared" si="0"/>
        <v>966</v>
      </c>
      <c r="M13" s="240">
        <f t="shared" si="0"/>
        <v>736</v>
      </c>
      <c r="O13" s="241">
        <f>(K13-M13)/M13</f>
        <v>1.5</v>
      </c>
      <c r="T13" s="242"/>
    </row>
    <row r="14" spans="2:20" x14ac:dyDescent="0.2">
      <c r="B14" s="245" t="s">
        <v>273</v>
      </c>
      <c r="C14" s="246">
        <v>4550129</v>
      </c>
      <c r="E14" s="249">
        <f>C14*11/M14</f>
        <v>68004.645380434784</v>
      </c>
      <c r="G14" s="240">
        <v>30</v>
      </c>
      <c r="H14" s="240">
        <v>21</v>
      </c>
      <c r="I14" s="240">
        <v>16</v>
      </c>
      <c r="J14" s="240"/>
      <c r="K14" s="240">
        <f t="shared" si="0"/>
        <v>1380</v>
      </c>
      <c r="L14" s="240">
        <f t="shared" si="0"/>
        <v>966</v>
      </c>
      <c r="M14" s="240">
        <f t="shared" si="0"/>
        <v>736</v>
      </c>
      <c r="O14" s="241">
        <f>(K14-M14)/M14</f>
        <v>0.875</v>
      </c>
      <c r="T14" s="237"/>
    </row>
    <row r="15" spans="2:20" x14ac:dyDescent="0.2">
      <c r="B15" s="245" t="s">
        <v>274</v>
      </c>
      <c r="C15" s="246">
        <v>3058647</v>
      </c>
      <c r="E15" s="249">
        <f>C15*11/M15</f>
        <v>60951.29891304348</v>
      </c>
      <c r="G15" s="240">
        <v>20</v>
      </c>
      <c r="H15" s="240">
        <v>15</v>
      </c>
      <c r="I15" s="240">
        <v>12</v>
      </c>
      <c r="J15" s="240"/>
      <c r="K15" s="240">
        <f t="shared" si="0"/>
        <v>920</v>
      </c>
      <c r="L15" s="240">
        <f t="shared" si="0"/>
        <v>690</v>
      </c>
      <c r="M15" s="240">
        <f t="shared" si="0"/>
        <v>552</v>
      </c>
      <c r="O15" s="241">
        <f>(K15-M15)/M15</f>
        <v>0.66666666666666663</v>
      </c>
      <c r="T15" s="237"/>
    </row>
    <row r="16" spans="2:20" x14ac:dyDescent="0.2">
      <c r="B16" s="245" t="s">
        <v>275</v>
      </c>
      <c r="C16" s="246">
        <v>3058647</v>
      </c>
      <c r="E16" s="249">
        <f>C16*11/M16</f>
        <v>60951.29891304348</v>
      </c>
      <c r="G16" s="240">
        <v>20</v>
      </c>
      <c r="H16" s="240">
        <v>15</v>
      </c>
      <c r="I16" s="240">
        <v>12</v>
      </c>
      <c r="J16" s="240"/>
      <c r="K16" s="240">
        <f t="shared" si="0"/>
        <v>920</v>
      </c>
      <c r="L16" s="240">
        <f t="shared" si="0"/>
        <v>690</v>
      </c>
      <c r="M16" s="240">
        <f t="shared" si="0"/>
        <v>552</v>
      </c>
      <c r="O16" s="241">
        <f>(K16-M16)/M16</f>
        <v>0.66666666666666663</v>
      </c>
      <c r="T16" s="237"/>
    </row>
    <row r="18" spans="2:3" x14ac:dyDescent="0.2">
      <c r="C18" s="243"/>
    </row>
    <row r="19" spans="2:3" x14ac:dyDescent="0.2">
      <c r="C19" s="243"/>
    </row>
    <row r="20" spans="2:3" x14ac:dyDescent="0.2">
      <c r="C20" s="243"/>
    </row>
    <row r="23" spans="2:3" ht="15.75" x14ac:dyDescent="0.25">
      <c r="B23" s="574" t="s">
        <v>476</v>
      </c>
      <c r="C23" s="574"/>
    </row>
    <row r="24" spans="2:3" ht="31.5" x14ac:dyDescent="0.2">
      <c r="B24" s="244" t="s">
        <v>470</v>
      </c>
      <c r="C24" s="244" t="s">
        <v>315</v>
      </c>
    </row>
    <row r="25" spans="2:3" x14ac:dyDescent="0.2">
      <c r="B25" s="245" t="s">
        <v>471</v>
      </c>
      <c r="C25" s="309">
        <v>87516</v>
      </c>
    </row>
    <row r="26" spans="2:3" x14ac:dyDescent="0.2">
      <c r="B26" s="245" t="s">
        <v>472</v>
      </c>
      <c r="C26" s="310">
        <v>112521</v>
      </c>
    </row>
    <row r="27" spans="2:3" x14ac:dyDescent="0.2">
      <c r="B27" s="245" t="s">
        <v>473</v>
      </c>
      <c r="C27" s="310">
        <v>125023</v>
      </c>
    </row>
    <row r="28" spans="2:3" x14ac:dyDescent="0.2">
      <c r="B28" s="245" t="s">
        <v>474</v>
      </c>
      <c r="C28" s="310">
        <v>125023</v>
      </c>
    </row>
    <row r="29" spans="2:3" x14ac:dyDescent="0.2">
      <c r="B29" s="245" t="s">
        <v>475</v>
      </c>
      <c r="C29" s="310">
        <v>138915</v>
      </c>
    </row>
  </sheetData>
  <mergeCells count="7">
    <mergeCell ref="B23:C23"/>
    <mergeCell ref="O11:O12"/>
    <mergeCell ref="B2:C2"/>
    <mergeCell ref="G11:I11"/>
    <mergeCell ref="K11:M11"/>
    <mergeCell ref="E11:E12"/>
    <mergeCell ref="B11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11</vt:i4>
      </vt:variant>
    </vt:vector>
  </HeadingPairs>
  <TitlesOfParts>
    <vt:vector size="20" baseType="lpstr">
      <vt:lpstr>CONSOLIDADO</vt:lpstr>
      <vt:lpstr>INGRESOS</vt:lpstr>
      <vt:lpstr>COSTOS Y GASTOS</vt:lpstr>
      <vt:lpstr>ESTUDIANTES Y DOCENTES</vt:lpstr>
      <vt:lpstr>Malla</vt:lpstr>
      <vt:lpstr>DOCENTE CONTRATO ESPECIAL</vt:lpstr>
      <vt:lpstr>Adquisición Infraestructura</vt:lpstr>
      <vt:lpstr>Adquisición Medios</vt:lpstr>
      <vt:lpstr>TARIFAS</vt:lpstr>
      <vt:lpstr>CONSOLIDADO!Área_de_impresión</vt:lpstr>
      <vt:lpstr>'COSTOS Y GASTOS'!Área_de_impresión</vt:lpstr>
      <vt:lpstr>'DOCENTE CONTRATO ESPECIAL'!Área_de_impresión</vt:lpstr>
      <vt:lpstr>'ESTUDIANTES Y DOCENTES'!Área_de_impresión</vt:lpstr>
      <vt:lpstr>INGRESOS!Área_de_impresión</vt:lpstr>
      <vt:lpstr>DOCENTE</vt:lpstr>
      <vt:lpstr>FORMACION</vt:lpstr>
      <vt:lpstr>FORMAL_Y_NO_FORMAL</vt:lpstr>
      <vt:lpstr>CONSOLIDADO!Títulos_a_imprimir</vt:lpstr>
      <vt:lpstr>'COSTOS Y GASTOS'!Títulos_a_imprimir</vt:lpstr>
      <vt:lpstr>INGRESOS!Títulos_a_imprimir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Andres Benavidez Lopez</dc:creator>
  <cp:lastModifiedBy>Enmanuel Ramirez Berney</cp:lastModifiedBy>
  <cp:lastPrinted>2019-07-25T22:59:44Z</cp:lastPrinted>
  <dcterms:created xsi:type="dcterms:W3CDTF">2016-07-28T19:26:20Z</dcterms:created>
  <dcterms:modified xsi:type="dcterms:W3CDTF">2026-10-21T21:12:54Z</dcterms:modified>
</cp:coreProperties>
</file>